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/>
  <mc:AlternateContent xmlns:mc="http://schemas.openxmlformats.org/markup-compatibility/2006">
    <mc:Choice Requires="x15">
      <x15ac:absPath xmlns:x15ac="http://schemas.microsoft.com/office/spreadsheetml/2010/11/ac" url="/Users/CIP-02/Documents/OXFAM/Analise CORAL SUL/"/>
    </mc:Choice>
  </mc:AlternateContent>
  <xr:revisionPtr revIDLastSave="0" documentId="13_ncr:1_{D3495E9F-A8EF-CC41-A59A-E99027ECE505}" xr6:coauthVersionLast="47" xr6:coauthVersionMax="47" xr10:uidLastSave="{00000000-0000-0000-0000-000000000000}"/>
  <bookViews>
    <workbookView xWindow="160" yWindow="500" windowWidth="28500" windowHeight="15940" tabRatio="500" xr2:uid="{00000000-000D-0000-FFFF-FFFF00000000}"/>
  </bookViews>
  <sheets>
    <sheet name="0 Dashboard" sheetId="1" r:id="rId1"/>
    <sheet name="1 Premissas" sheetId="2" r:id="rId2"/>
    <sheet name="2 Producao Receitas" sheetId="3" r:id="rId3"/>
    <sheet name="3 Cost Recovery ProfitOil" sheetId="4" r:id="rId4"/>
    <sheet name="4 Receitas Fiscais" sheetId="5" r:id="rId5"/>
    <sheet name="6 Resumo" sheetId="7" r:id="rId6"/>
    <sheet name="5 Analise ENH" sheetId="6" r:id="rId7"/>
    <sheet name="7 Resumo Validação" sheetId="8" r:id="rId8"/>
    <sheet name="8 Parametros Avancados" sheetId="9" r:id="rId9"/>
    <sheet name="9 Cenário TE" sheetId="12" r:id="rId10"/>
    <sheet name="10 Guia do Modelo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6" l="1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D9" i="12"/>
  <c r="D21" i="12"/>
  <c r="E21" i="12"/>
  <c r="C21" i="12"/>
  <c r="E10" i="12"/>
  <c r="D23" i="7" s="1"/>
  <c r="C10" i="12"/>
  <c r="D21" i="7"/>
  <c r="X4" i="4"/>
  <c r="V4" i="4"/>
  <c r="W4" i="4" s="1"/>
  <c r="D26" i="9"/>
  <c r="D25" i="9"/>
  <c r="D24" i="9"/>
  <c r="D23" i="9"/>
  <c r="D22" i="9"/>
  <c r="D21" i="9"/>
  <c r="C21" i="9"/>
  <c r="J78" i="9"/>
  <c r="J79" i="9" s="1"/>
  <c r="J80" i="9" s="1"/>
  <c r="J81" i="9" s="1"/>
  <c r="J82" i="9" s="1"/>
  <c r="J83" i="9" s="1"/>
  <c r="J84" i="9" s="1"/>
  <c r="J85" i="9" s="1"/>
  <c r="J86" i="9" s="1"/>
  <c r="J87" i="9" s="1"/>
  <c r="J88" i="9" s="1"/>
  <c r="J89" i="9" s="1"/>
  <c r="J90" i="9" s="1"/>
  <c r="J91" i="9" s="1"/>
  <c r="J92" i="9" s="1"/>
  <c r="J93" i="9" s="1"/>
  <c r="J94" i="9" s="1"/>
  <c r="J95" i="9" s="1"/>
  <c r="J96" i="9" s="1"/>
  <c r="J97" i="9" s="1"/>
  <c r="J98" i="9" s="1"/>
  <c r="J99" i="9" s="1"/>
  <c r="J100" i="9" s="1"/>
  <c r="J101" i="9" s="1"/>
  <c r="L101" i="9" s="1"/>
  <c r="F32" i="4"/>
  <c r="M83" i="9" l="1"/>
  <c r="L84" i="9"/>
  <c r="L83" i="9"/>
  <c r="L99" i="9"/>
  <c r="M92" i="9"/>
  <c r="L93" i="9"/>
  <c r="M101" i="9"/>
  <c r="M78" i="9"/>
  <c r="L95" i="9"/>
  <c r="L88" i="9"/>
  <c r="M96" i="9"/>
  <c r="M99" i="9"/>
  <c r="L92" i="9"/>
  <c r="M100" i="9"/>
  <c r="L85" i="9"/>
  <c r="M93" i="9"/>
  <c r="L86" i="9"/>
  <c r="M86" i="9"/>
  <c r="L79" i="9"/>
  <c r="M87" i="9"/>
  <c r="L80" i="9"/>
  <c r="M80" i="9"/>
  <c r="L97" i="9"/>
  <c r="L91" i="9"/>
  <c r="M91" i="9"/>
  <c r="L100" i="9"/>
  <c r="M84" i="9"/>
  <c r="M85" i="9"/>
  <c r="L78" i="9"/>
  <c r="L94" i="9"/>
  <c r="M94" i="9"/>
  <c r="L87" i="9"/>
  <c r="M79" i="9"/>
  <c r="M95" i="9"/>
  <c r="L96" i="9"/>
  <c r="M88" i="9"/>
  <c r="L81" i="9"/>
  <c r="L89" i="9"/>
  <c r="M81" i="9"/>
  <c r="M89" i="9"/>
  <c r="M97" i="9"/>
  <c r="L82" i="9"/>
  <c r="L90" i="9"/>
  <c r="L98" i="9"/>
  <c r="M82" i="9"/>
  <c r="M90" i="9"/>
  <c r="M98" i="9"/>
  <c r="C21" i="2" l="1"/>
  <c r="I4" i="4" l="1"/>
  <c r="F39" i="12"/>
  <c r="C39" i="12"/>
  <c r="E39" i="12" s="1"/>
  <c r="F38" i="12"/>
  <c r="C38" i="12"/>
  <c r="E38" i="12" s="1"/>
  <c r="F37" i="12"/>
  <c r="C37" i="12"/>
  <c r="E37" i="12" s="1"/>
  <c r="F36" i="12"/>
  <c r="C36" i="12"/>
  <c r="E36" i="12" s="1"/>
  <c r="F34" i="12"/>
  <c r="C34" i="12"/>
  <c r="E34" i="12" s="1"/>
  <c r="E27" i="12"/>
  <c r="C27" i="12"/>
  <c r="E22" i="12"/>
  <c r="D22" i="12"/>
  <c r="E24" i="7" s="1"/>
  <c r="C22" i="12"/>
  <c r="E11" i="12"/>
  <c r="E23" i="7" s="1"/>
  <c r="C11" i="12"/>
  <c r="E21" i="7" s="1"/>
  <c r="F14" i="5"/>
  <c r="D28" i="12"/>
  <c r="E28" i="12"/>
  <c r="C28" i="12"/>
  <c r="D22" i="1"/>
  <c r="C22" i="8"/>
  <c r="F15" i="5"/>
  <c r="C23" i="7"/>
  <c r="C22" i="7"/>
  <c r="C21" i="7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M8" i="6"/>
  <c r="M6" i="6"/>
  <c r="M5" i="6"/>
  <c r="M4" i="6"/>
  <c r="E32" i="4"/>
  <c r="G4" i="4"/>
  <c r="G5" i="4" s="1"/>
  <c r="Q5" i="4" s="1"/>
  <c r="R6" i="4" s="1"/>
  <c r="F7" i="3"/>
  <c r="F6" i="3"/>
  <c r="F5" i="3"/>
  <c r="F4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17" i="9"/>
  <c r="K43" i="9"/>
  <c r="L43" i="9"/>
  <c r="K44" i="9"/>
  <c r="L44" i="9"/>
  <c r="K45" i="9"/>
  <c r="L45" i="9"/>
  <c r="K46" i="9"/>
  <c r="L46" i="9"/>
  <c r="K47" i="9"/>
  <c r="L47" i="9"/>
  <c r="K48" i="9"/>
  <c r="L48" i="9"/>
  <c r="K49" i="9"/>
  <c r="L49" i="9"/>
  <c r="K50" i="9"/>
  <c r="L50" i="9"/>
  <c r="K51" i="9"/>
  <c r="L51" i="9"/>
  <c r="K52" i="9"/>
  <c r="L52" i="9"/>
  <c r="K53" i="9"/>
  <c r="L53" i="9"/>
  <c r="K54" i="9"/>
  <c r="L54" i="9"/>
  <c r="K55" i="9"/>
  <c r="L55" i="9"/>
  <c r="K56" i="9"/>
  <c r="L56" i="9"/>
  <c r="K57" i="9"/>
  <c r="L57" i="9"/>
  <c r="K58" i="9"/>
  <c r="L58" i="9"/>
  <c r="K59" i="9"/>
  <c r="L59" i="9"/>
  <c r="K60" i="9"/>
  <c r="L60" i="9"/>
  <c r="K61" i="9"/>
  <c r="L61" i="9"/>
  <c r="K62" i="9"/>
  <c r="L62" i="9"/>
  <c r="K63" i="9"/>
  <c r="L63" i="9"/>
  <c r="K64" i="9"/>
  <c r="L64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4" i="9"/>
  <c r="J45" i="9"/>
  <c r="J46" i="9"/>
  <c r="J47" i="9"/>
  <c r="J48" i="9"/>
  <c r="J49" i="9"/>
  <c r="J43" i="9"/>
  <c r="M33" i="9"/>
  <c r="M32" i="9"/>
  <c r="M31" i="9"/>
  <c r="M30" i="9"/>
  <c r="M29" i="9"/>
  <c r="M40" i="9"/>
  <c r="F31" i="9"/>
  <c r="F6" i="9"/>
  <c r="F8" i="9"/>
  <c r="F32" i="9"/>
  <c r="J39" i="9"/>
  <c r="K39" i="9"/>
  <c r="M39" i="9" s="1"/>
  <c r="L39" i="9"/>
  <c r="J40" i="9"/>
  <c r="K40" i="9"/>
  <c r="L40" i="9"/>
  <c r="J41" i="9"/>
  <c r="K41" i="9"/>
  <c r="M41" i="9" s="1"/>
  <c r="L41" i="9"/>
  <c r="J42" i="9"/>
  <c r="K42" i="9"/>
  <c r="M42" i="9" s="1"/>
  <c r="L42" i="9"/>
  <c r="L38" i="9"/>
  <c r="K38" i="9"/>
  <c r="M38" i="9" s="1"/>
  <c r="J38" i="9"/>
  <c r="M27" i="9"/>
  <c r="M28" i="9"/>
  <c r="M26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9" i="9"/>
  <c r="F10" i="9"/>
  <c r="F11" i="9"/>
  <c r="F12" i="9"/>
  <c r="F13" i="9"/>
  <c r="F14" i="9"/>
  <c r="F15" i="9"/>
  <c r="F16" i="9"/>
  <c r="F7" i="9"/>
  <c r="E29" i="1"/>
  <c r="E27" i="1"/>
  <c r="D21" i="1"/>
  <c r="D19" i="1"/>
  <c r="D18" i="1"/>
  <c r="F8" i="5"/>
  <c r="E8" i="5"/>
  <c r="D20" i="1" s="1"/>
  <c r="D8" i="5"/>
  <c r="C8" i="5"/>
  <c r="G7" i="5"/>
  <c r="G6" i="5"/>
  <c r="G5" i="5"/>
  <c r="G4" i="5"/>
  <c r="F2" i="3"/>
  <c r="E30" i="1" l="1"/>
  <c r="D24" i="7"/>
  <c r="F24" i="7" s="1"/>
  <c r="H30" i="1" s="1"/>
  <c r="N4" i="4"/>
  <c r="J4" i="4"/>
  <c r="M7" i="6"/>
  <c r="D4" i="6" s="1"/>
  <c r="H39" i="12"/>
  <c r="G39" i="12"/>
  <c r="H38" i="12"/>
  <c r="G38" i="12"/>
  <c r="G37" i="12"/>
  <c r="H37" i="12"/>
  <c r="H36" i="12"/>
  <c r="G36" i="12"/>
  <c r="H34" i="12"/>
  <c r="G34" i="12"/>
  <c r="F28" i="12"/>
  <c r="F40" i="5"/>
  <c r="G8" i="5"/>
  <c r="D6" i="3"/>
  <c r="K77" i="9"/>
  <c r="N77" i="9" s="1"/>
  <c r="D7" i="3"/>
  <c r="K78" i="9"/>
  <c r="D8" i="3"/>
  <c r="K79" i="9"/>
  <c r="D4" i="3"/>
  <c r="K75" i="9"/>
  <c r="D5" i="3"/>
  <c r="K76" i="9"/>
  <c r="G6" i="4"/>
  <c r="M43" i="9"/>
  <c r="P78" i="9" l="1"/>
  <c r="O78" i="9"/>
  <c r="N78" i="9"/>
  <c r="O79" i="9"/>
  <c r="P79" i="9"/>
  <c r="N79" i="9"/>
  <c r="E29" i="12"/>
  <c r="F27" i="12"/>
  <c r="E30" i="12"/>
  <c r="C30" i="12"/>
  <c r="C29" i="12"/>
  <c r="C46" i="5"/>
  <c r="I21" i="1" s="1"/>
  <c r="C7" i="8"/>
  <c r="C10" i="7" s="1"/>
  <c r="E6" i="3"/>
  <c r="G6" i="3" s="1"/>
  <c r="E7" i="3"/>
  <c r="G7" i="3" s="1"/>
  <c r="E8" i="3"/>
  <c r="G8" i="3" s="1"/>
  <c r="E4" i="3"/>
  <c r="G4" i="3" s="1"/>
  <c r="E5" i="3"/>
  <c r="G5" i="3" s="1"/>
  <c r="D9" i="3"/>
  <c r="K80" i="9"/>
  <c r="G7" i="4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M44" i="9"/>
  <c r="P80" i="9" l="1"/>
  <c r="O80" i="9"/>
  <c r="N80" i="9"/>
  <c r="F29" i="12"/>
  <c r="F30" i="12"/>
  <c r="Q75" i="9"/>
  <c r="E21" i="9" s="1"/>
  <c r="F21" i="9" s="1"/>
  <c r="U5" i="4" s="1"/>
  <c r="H6" i="3"/>
  <c r="H7" i="3"/>
  <c r="H8" i="3"/>
  <c r="C17" i="5" s="1"/>
  <c r="H5" i="3"/>
  <c r="E9" i="3"/>
  <c r="G9" i="3" s="1"/>
  <c r="Q76" i="9"/>
  <c r="D10" i="3"/>
  <c r="K81" i="9"/>
  <c r="H4" i="3"/>
  <c r="C13" i="5" s="1"/>
  <c r="M45" i="9"/>
  <c r="H6" i="4" l="1"/>
  <c r="E22" i="9"/>
  <c r="F22" i="9" s="1"/>
  <c r="U6" i="4" s="1"/>
  <c r="O81" i="9"/>
  <c r="P81" i="9"/>
  <c r="N81" i="9"/>
  <c r="H5" i="4"/>
  <c r="I6" i="4"/>
  <c r="J6" i="4" s="1"/>
  <c r="I8" i="3"/>
  <c r="D9" i="4" s="1"/>
  <c r="L9" i="4" s="1"/>
  <c r="C16" i="5"/>
  <c r="I7" i="3"/>
  <c r="D8" i="4" s="1"/>
  <c r="L8" i="4" s="1"/>
  <c r="C14" i="5"/>
  <c r="I5" i="3"/>
  <c r="D6" i="4" s="1"/>
  <c r="L6" i="4" s="1"/>
  <c r="H9" i="3"/>
  <c r="C18" i="5" s="1"/>
  <c r="C15" i="5"/>
  <c r="I6" i="3"/>
  <c r="D7" i="4" s="1"/>
  <c r="L7" i="4" s="1"/>
  <c r="E10" i="3"/>
  <c r="G10" i="3" s="1"/>
  <c r="D11" i="3"/>
  <c r="K82" i="9"/>
  <c r="I4" i="3"/>
  <c r="M46" i="9"/>
  <c r="O82" i="9" l="1"/>
  <c r="P82" i="9"/>
  <c r="N82" i="9"/>
  <c r="I5" i="4"/>
  <c r="J5" i="4" s="1"/>
  <c r="K5" i="4" s="1"/>
  <c r="I9" i="3"/>
  <c r="D10" i="4" s="1"/>
  <c r="L10" i="4" s="1"/>
  <c r="Q78" i="9"/>
  <c r="E11" i="3"/>
  <c r="G11" i="3" s="1"/>
  <c r="H11" i="3" s="1"/>
  <c r="Q77" i="9"/>
  <c r="E23" i="9" s="1"/>
  <c r="F23" i="9" s="1"/>
  <c r="U7" i="4" s="1"/>
  <c r="D12" i="3"/>
  <c r="K83" i="9"/>
  <c r="H10" i="3"/>
  <c r="C19" i="5" s="1"/>
  <c r="D5" i="4"/>
  <c r="M47" i="9"/>
  <c r="H8" i="4" l="1"/>
  <c r="E24" i="9"/>
  <c r="F24" i="9" s="1"/>
  <c r="U8" i="4" s="1"/>
  <c r="O83" i="9"/>
  <c r="P83" i="9"/>
  <c r="N83" i="9"/>
  <c r="H7" i="4"/>
  <c r="I8" i="4"/>
  <c r="J8" i="4" s="1"/>
  <c r="E12" i="3"/>
  <c r="G12" i="3" s="1"/>
  <c r="Q79" i="9"/>
  <c r="D13" i="3"/>
  <c r="K84" i="9"/>
  <c r="I11" i="3"/>
  <c r="D12" i="4" s="1"/>
  <c r="L12" i="4" s="1"/>
  <c r="C20" i="5"/>
  <c r="L5" i="4"/>
  <c r="I10" i="3"/>
  <c r="D11" i="4" s="1"/>
  <c r="M48" i="9"/>
  <c r="H9" i="4" l="1"/>
  <c r="E25" i="9"/>
  <c r="F25" i="9" s="1"/>
  <c r="U9" i="4" s="1"/>
  <c r="P84" i="9"/>
  <c r="O84" i="9"/>
  <c r="N84" i="9"/>
  <c r="I9" i="4"/>
  <c r="J9" i="4" s="1"/>
  <c r="I7" i="4"/>
  <c r="J7" i="4" s="1"/>
  <c r="E13" i="3"/>
  <c r="G13" i="3" s="1"/>
  <c r="H13" i="3" s="1"/>
  <c r="Q80" i="9"/>
  <c r="D14" i="3"/>
  <c r="K85" i="9"/>
  <c r="M5" i="4"/>
  <c r="L11" i="4"/>
  <c r="H12" i="3"/>
  <c r="M49" i="9"/>
  <c r="H10" i="4" l="1"/>
  <c r="I10" i="4" s="1"/>
  <c r="J10" i="4" s="1"/>
  <c r="E26" i="9"/>
  <c r="F26" i="9" s="1"/>
  <c r="U10" i="4" s="1"/>
  <c r="O85" i="9"/>
  <c r="P85" i="9"/>
  <c r="N85" i="9"/>
  <c r="I13" i="3"/>
  <c r="D14" i="4" s="1"/>
  <c r="L14" i="4" s="1"/>
  <c r="C22" i="5"/>
  <c r="E14" i="3"/>
  <c r="G14" i="3" s="1"/>
  <c r="Q81" i="9"/>
  <c r="D15" i="3"/>
  <c r="K86" i="9"/>
  <c r="I12" i="3"/>
  <c r="D13" i="4" s="1"/>
  <c r="L13" i="4" s="1"/>
  <c r="C21" i="5"/>
  <c r="O5" i="4"/>
  <c r="N5" i="4"/>
  <c r="M50" i="9"/>
  <c r="H11" i="4" l="1"/>
  <c r="U11" i="4"/>
  <c r="E27" i="9"/>
  <c r="F27" i="9" s="1"/>
  <c r="P86" i="9"/>
  <c r="O86" i="9"/>
  <c r="N86" i="9"/>
  <c r="I11" i="4"/>
  <c r="J11" i="4" s="1"/>
  <c r="H14" i="3"/>
  <c r="E15" i="3"/>
  <c r="G15" i="3" s="1"/>
  <c r="K6" i="4"/>
  <c r="M6" i="4" s="1"/>
  <c r="D16" i="3"/>
  <c r="K87" i="9"/>
  <c r="T5" i="4"/>
  <c r="C4" i="6" s="1"/>
  <c r="S5" i="4"/>
  <c r="D13" i="5" s="1"/>
  <c r="M51" i="9"/>
  <c r="W5" i="4" l="1"/>
  <c r="V5" i="4"/>
  <c r="X5" i="4" s="1"/>
  <c r="O87" i="9"/>
  <c r="P87" i="9"/>
  <c r="N87" i="9"/>
  <c r="C23" i="5"/>
  <c r="I14" i="3"/>
  <c r="D15" i="4" s="1"/>
  <c r="L15" i="4" s="1"/>
  <c r="Q82" i="9"/>
  <c r="H15" i="3"/>
  <c r="E16" i="3"/>
  <c r="G16" i="3" s="1"/>
  <c r="Q83" i="9"/>
  <c r="N6" i="4"/>
  <c r="D17" i="3"/>
  <c r="K88" i="9"/>
  <c r="O6" i="4"/>
  <c r="M52" i="9"/>
  <c r="H12" i="4" l="1"/>
  <c r="U12" i="4"/>
  <c r="H13" i="4"/>
  <c r="U13" i="4"/>
  <c r="O88" i="9"/>
  <c r="P88" i="9"/>
  <c r="N88" i="9"/>
  <c r="I13" i="4"/>
  <c r="J13" i="4" s="1"/>
  <c r="I12" i="4"/>
  <c r="J12" i="4" s="1"/>
  <c r="C24" i="5"/>
  <c r="I15" i="3"/>
  <c r="D16" i="4" s="1"/>
  <c r="L16" i="4" s="1"/>
  <c r="H16" i="3"/>
  <c r="C25" i="5" s="1"/>
  <c r="E17" i="3"/>
  <c r="G17" i="3" s="1"/>
  <c r="H17" i="3" s="1"/>
  <c r="Q84" i="9"/>
  <c r="K7" i="4"/>
  <c r="M7" i="4" s="1"/>
  <c r="D18" i="3"/>
  <c r="K89" i="9"/>
  <c r="P5" i="4"/>
  <c r="T6" i="4"/>
  <c r="C5" i="6" s="1"/>
  <c r="S6" i="4"/>
  <c r="D14" i="5" s="1"/>
  <c r="M53" i="9"/>
  <c r="H14" i="4" l="1"/>
  <c r="U14" i="4"/>
  <c r="W6" i="4"/>
  <c r="V6" i="4"/>
  <c r="X6" i="4" s="1"/>
  <c r="O89" i="9"/>
  <c r="P89" i="9"/>
  <c r="N89" i="9"/>
  <c r="I14" i="4"/>
  <c r="J14" i="4" s="1"/>
  <c r="I16" i="3"/>
  <c r="D17" i="4" s="1"/>
  <c r="L17" i="4" s="1"/>
  <c r="Q85" i="9"/>
  <c r="E18" i="3"/>
  <c r="G18" i="3" s="1"/>
  <c r="H18" i="3" s="1"/>
  <c r="N7" i="4"/>
  <c r="C26" i="5"/>
  <c r="I17" i="3"/>
  <c r="D18" i="4" s="1"/>
  <c r="L18" i="4" s="1"/>
  <c r="E13" i="5"/>
  <c r="G13" i="5" s="1"/>
  <c r="D19" i="3"/>
  <c r="K90" i="9"/>
  <c r="O7" i="4"/>
  <c r="M54" i="9"/>
  <c r="H15" i="4" l="1"/>
  <c r="U15" i="4"/>
  <c r="O90" i="9"/>
  <c r="P90" i="9"/>
  <c r="N90" i="9"/>
  <c r="I15" i="4"/>
  <c r="J15" i="4" s="1"/>
  <c r="Q86" i="9"/>
  <c r="K8" i="4"/>
  <c r="E19" i="3"/>
  <c r="G19" i="3" s="1"/>
  <c r="H19" i="3" s="1"/>
  <c r="P6" i="4"/>
  <c r="C27" i="5"/>
  <c r="I18" i="3"/>
  <c r="D19" i="4" s="1"/>
  <c r="L19" i="4" s="1"/>
  <c r="E18" i="1"/>
  <c r="D18" i="8"/>
  <c r="F4" i="6"/>
  <c r="I4" i="6" s="1"/>
  <c r="J4" i="6" s="1"/>
  <c r="G4" i="6"/>
  <c r="D20" i="3"/>
  <c r="K91" i="9"/>
  <c r="Q6" i="4"/>
  <c r="R7" i="4" s="1"/>
  <c r="M55" i="9"/>
  <c r="H16" i="4" l="1"/>
  <c r="U16" i="4"/>
  <c r="P91" i="9"/>
  <c r="O91" i="9"/>
  <c r="N91" i="9"/>
  <c r="I16" i="4"/>
  <c r="J16" i="4" s="1"/>
  <c r="Q87" i="9"/>
  <c r="M8" i="4"/>
  <c r="E20" i="3"/>
  <c r="G20" i="3" s="1"/>
  <c r="H20" i="3" s="1"/>
  <c r="F18" i="1"/>
  <c r="E14" i="5"/>
  <c r="G14" i="5" s="1"/>
  <c r="F18" i="8"/>
  <c r="E18" i="8"/>
  <c r="C28" i="5"/>
  <c r="I19" i="3"/>
  <c r="D20" i="4" s="1"/>
  <c r="L20" i="4" s="1"/>
  <c r="H4" i="6"/>
  <c r="T7" i="4"/>
  <c r="S7" i="4"/>
  <c r="D15" i="5" s="1"/>
  <c r="D21" i="3"/>
  <c r="K92" i="9"/>
  <c r="Q7" i="4"/>
  <c r="R8" i="4" s="1"/>
  <c r="M56" i="9"/>
  <c r="H17" i="4" l="1"/>
  <c r="U17" i="4"/>
  <c r="V7" i="4"/>
  <c r="X7" i="4" s="1"/>
  <c r="C6" i="6"/>
  <c r="W7" i="4"/>
  <c r="O92" i="9"/>
  <c r="P92" i="9"/>
  <c r="N92" i="9"/>
  <c r="I17" i="4"/>
  <c r="J17" i="4" s="1"/>
  <c r="N8" i="4"/>
  <c r="Q88" i="9"/>
  <c r="O8" i="4"/>
  <c r="E21" i="3"/>
  <c r="G21" i="3" s="1"/>
  <c r="H21" i="3" s="1"/>
  <c r="C29" i="5"/>
  <c r="I20" i="3"/>
  <c r="D21" i="4" s="1"/>
  <c r="L21" i="4" s="1"/>
  <c r="E19" i="1"/>
  <c r="D19" i="8"/>
  <c r="C15" i="7"/>
  <c r="M22" i="1" s="1"/>
  <c r="D5" i="6"/>
  <c r="E5" i="6" s="1"/>
  <c r="C17" i="7"/>
  <c r="D22" i="3"/>
  <c r="K93" i="9"/>
  <c r="M57" i="9"/>
  <c r="H18" i="4" l="1"/>
  <c r="U18" i="4"/>
  <c r="O93" i="9"/>
  <c r="P93" i="9"/>
  <c r="N93" i="9"/>
  <c r="I18" i="4"/>
  <c r="J18" i="4" s="1"/>
  <c r="K9" i="4"/>
  <c r="M9" i="4" s="1"/>
  <c r="C30" i="5"/>
  <c r="I21" i="3"/>
  <c r="D22" i="4" s="1"/>
  <c r="L22" i="4" s="1"/>
  <c r="T8" i="4"/>
  <c r="S8" i="4"/>
  <c r="D16" i="5" s="1"/>
  <c r="E22" i="3"/>
  <c r="G22" i="3" s="1"/>
  <c r="F19" i="1"/>
  <c r="F19" i="8"/>
  <c r="E19" i="8"/>
  <c r="D23" i="3"/>
  <c r="K94" i="9"/>
  <c r="M58" i="9"/>
  <c r="V8" i="4" l="1"/>
  <c r="C7" i="6"/>
  <c r="W8" i="4"/>
  <c r="X8" i="4"/>
  <c r="P94" i="9"/>
  <c r="O94" i="9"/>
  <c r="N94" i="9"/>
  <c r="N9" i="4"/>
  <c r="H22" i="3"/>
  <c r="C31" i="5" s="1"/>
  <c r="O9" i="4"/>
  <c r="E23" i="3"/>
  <c r="G23" i="3" s="1"/>
  <c r="H23" i="3" s="1"/>
  <c r="F5" i="6"/>
  <c r="I5" i="6" s="1"/>
  <c r="J5" i="6" s="1"/>
  <c r="E31" i="6"/>
  <c r="G5" i="6"/>
  <c r="E15" i="5"/>
  <c r="G15" i="5" s="1"/>
  <c r="P7" i="4"/>
  <c r="Q8" i="4" s="1"/>
  <c r="R9" i="4" s="1"/>
  <c r="D24" i="3"/>
  <c r="K95" i="9"/>
  <c r="M59" i="9"/>
  <c r="O95" i="9" l="1"/>
  <c r="P95" i="9"/>
  <c r="N95" i="9"/>
  <c r="I22" i="3"/>
  <c r="D23" i="4" s="1"/>
  <c r="L23" i="4" s="1"/>
  <c r="K10" i="4"/>
  <c r="E24" i="3"/>
  <c r="G24" i="3" s="1"/>
  <c r="I23" i="3"/>
  <c r="D24" i="4" s="1"/>
  <c r="L24" i="4" s="1"/>
  <c r="C32" i="5"/>
  <c r="F6" i="6"/>
  <c r="I6" i="6" s="1"/>
  <c r="J6" i="6" s="1"/>
  <c r="G6" i="6"/>
  <c r="D20" i="8"/>
  <c r="E20" i="1"/>
  <c r="T9" i="4"/>
  <c r="S9" i="4"/>
  <c r="D17" i="5" s="1"/>
  <c r="D25" i="3"/>
  <c r="K96" i="9"/>
  <c r="M60" i="9"/>
  <c r="V9" i="4" l="1"/>
  <c r="C8" i="6"/>
  <c r="W9" i="4"/>
  <c r="X9" i="4"/>
  <c r="O96" i="9"/>
  <c r="P96" i="9"/>
  <c r="N96" i="9"/>
  <c r="M10" i="4"/>
  <c r="P8" i="4"/>
  <c r="Q9" i="4" s="1"/>
  <c r="R10" i="4" s="1"/>
  <c r="E16" i="5"/>
  <c r="G16" i="5" s="1"/>
  <c r="H24" i="3"/>
  <c r="E25" i="3"/>
  <c r="G25" i="3" s="1"/>
  <c r="H25" i="3" s="1"/>
  <c r="F20" i="8"/>
  <c r="F20" i="1"/>
  <c r="E20" i="8"/>
  <c r="D26" i="3"/>
  <c r="K97" i="9"/>
  <c r="M61" i="9"/>
  <c r="N10" i="4" l="1"/>
  <c r="O97" i="9"/>
  <c r="P97" i="9"/>
  <c r="N97" i="9"/>
  <c r="O10" i="4"/>
  <c r="K11" i="4"/>
  <c r="C33" i="5"/>
  <c r="I24" i="3"/>
  <c r="D25" i="4" s="1"/>
  <c r="L25" i="4" s="1"/>
  <c r="D21" i="8"/>
  <c r="E21" i="1"/>
  <c r="F7" i="6"/>
  <c r="I7" i="6" s="1"/>
  <c r="J7" i="6" s="1"/>
  <c r="G7" i="6"/>
  <c r="E26" i="3"/>
  <c r="G26" i="3" s="1"/>
  <c r="C34" i="5"/>
  <c r="I25" i="3"/>
  <c r="D26" i="4" s="1"/>
  <c r="L26" i="4" s="1"/>
  <c r="D27" i="3"/>
  <c r="K98" i="9"/>
  <c r="M62" i="9"/>
  <c r="O98" i="9" l="1"/>
  <c r="P98" i="9"/>
  <c r="N98" i="9"/>
  <c r="S10" i="4"/>
  <c r="D18" i="5" s="1"/>
  <c r="T10" i="4"/>
  <c r="M11" i="4"/>
  <c r="P9" i="4"/>
  <c r="Q10" i="4" s="1"/>
  <c r="R11" i="4" s="1"/>
  <c r="E17" i="5"/>
  <c r="G17" i="5" s="1"/>
  <c r="D22" i="8"/>
  <c r="F21" i="8"/>
  <c r="F22" i="8" s="1"/>
  <c r="E21" i="8"/>
  <c r="E22" i="8" s="1"/>
  <c r="F21" i="1"/>
  <c r="F22" i="1" s="1"/>
  <c r="E22" i="1"/>
  <c r="H26" i="3"/>
  <c r="E27" i="3"/>
  <c r="G27" i="3" s="1"/>
  <c r="H27" i="3" s="1"/>
  <c r="D28" i="3"/>
  <c r="K99" i="9"/>
  <c r="M63" i="9"/>
  <c r="N11" i="4" l="1"/>
  <c r="V10" i="4"/>
  <c r="C9" i="6"/>
  <c r="W10" i="4"/>
  <c r="X10" i="4"/>
  <c r="P99" i="9"/>
  <c r="O99" i="9"/>
  <c r="N99" i="9"/>
  <c r="O11" i="4"/>
  <c r="K12" i="4"/>
  <c r="G8" i="6"/>
  <c r="F8" i="6"/>
  <c r="I8" i="6" s="1"/>
  <c r="J8" i="6" s="1"/>
  <c r="C35" i="5"/>
  <c r="I26" i="3"/>
  <c r="D27" i="4" s="1"/>
  <c r="L27" i="4" s="1"/>
  <c r="E28" i="3"/>
  <c r="G28" i="3" s="1"/>
  <c r="C36" i="5"/>
  <c r="I27" i="3"/>
  <c r="D28" i="4" s="1"/>
  <c r="L28" i="4" s="1"/>
  <c r="D29" i="3"/>
  <c r="K100" i="9"/>
  <c r="M64" i="9"/>
  <c r="P100" i="9" l="1"/>
  <c r="O100" i="9"/>
  <c r="N100" i="9"/>
  <c r="T11" i="4"/>
  <c r="S11" i="4"/>
  <c r="D19" i="5" s="1"/>
  <c r="M12" i="4"/>
  <c r="P10" i="4"/>
  <c r="Q11" i="4" s="1"/>
  <c r="R12" i="4" s="1"/>
  <c r="E18" i="5"/>
  <c r="G18" i="5" s="1"/>
  <c r="H28" i="3"/>
  <c r="E29" i="3"/>
  <c r="G29" i="3" s="1"/>
  <c r="H29" i="3" s="1"/>
  <c r="D30" i="3"/>
  <c r="K101" i="9"/>
  <c r="N12" i="4" l="1"/>
  <c r="V11" i="4"/>
  <c r="C10" i="6"/>
  <c r="W11" i="4"/>
  <c r="X11" i="4"/>
  <c r="O101" i="9"/>
  <c r="O102" i="9" s="1"/>
  <c r="P101" i="9"/>
  <c r="P102" i="9" s="1"/>
  <c r="N101" i="9"/>
  <c r="N102" i="9" s="1"/>
  <c r="O12" i="4"/>
  <c r="G9" i="6"/>
  <c r="F9" i="6"/>
  <c r="I9" i="6" s="1"/>
  <c r="J9" i="6" s="1"/>
  <c r="C37" i="5"/>
  <c r="I28" i="3"/>
  <c r="D29" i="4" s="1"/>
  <c r="L29" i="4" s="1"/>
  <c r="C38" i="5"/>
  <c r="I29" i="3"/>
  <c r="D30" i="4" s="1"/>
  <c r="L30" i="4" s="1"/>
  <c r="D31" i="3"/>
  <c r="E30" i="3"/>
  <c r="K13" i="4"/>
  <c r="S12" i="4" l="1"/>
  <c r="D20" i="5" s="1"/>
  <c r="T12" i="4"/>
  <c r="P11" i="4"/>
  <c r="Q12" i="4" s="1"/>
  <c r="R13" i="4" s="1"/>
  <c r="E19" i="5"/>
  <c r="G19" i="5" s="1"/>
  <c r="E31" i="3"/>
  <c r="G30" i="3"/>
  <c r="M13" i="4"/>
  <c r="V12" i="4" l="1"/>
  <c r="C11" i="6"/>
  <c r="W12" i="4"/>
  <c r="X12" i="4"/>
  <c r="N13" i="4"/>
  <c r="F10" i="6"/>
  <c r="I10" i="6" s="1"/>
  <c r="J10" i="6" s="1"/>
  <c r="G10" i="6"/>
  <c r="G31" i="3"/>
  <c r="H30" i="3"/>
  <c r="O13" i="4"/>
  <c r="K14" i="4" l="1"/>
  <c r="M14" i="4" s="1"/>
  <c r="P12" i="4"/>
  <c r="Q13" i="4" s="1"/>
  <c r="R14" i="4" s="1"/>
  <c r="E20" i="5"/>
  <c r="G20" i="5" s="1"/>
  <c r="C39" i="5"/>
  <c r="C40" i="5" s="1"/>
  <c r="H31" i="3"/>
  <c r="I30" i="3"/>
  <c r="C11" i="8"/>
  <c r="D5" i="12" s="1"/>
  <c r="C35" i="12" s="1"/>
  <c r="E35" i="12" s="1"/>
  <c r="S13" i="4"/>
  <c r="D21" i="5" s="1"/>
  <c r="T13" i="4"/>
  <c r="V13" i="4" l="1"/>
  <c r="C12" i="6"/>
  <c r="W13" i="4"/>
  <c r="X13" i="4"/>
  <c r="N14" i="4"/>
  <c r="F11" i="6"/>
  <c r="I11" i="6" s="1"/>
  <c r="J11" i="6" s="1"/>
  <c r="G11" i="6"/>
  <c r="C43" i="5"/>
  <c r="I18" i="1" s="1"/>
  <c r="C4" i="8"/>
  <c r="I31" i="3"/>
  <c r="D31" i="4"/>
  <c r="C5" i="7"/>
  <c r="O14" i="4"/>
  <c r="C7" i="7" l="1"/>
  <c r="D6" i="12"/>
  <c r="K15" i="4"/>
  <c r="M15" i="4" s="1"/>
  <c r="D32" i="4"/>
  <c r="L31" i="4"/>
  <c r="L32" i="4" s="1"/>
  <c r="T14" i="4"/>
  <c r="S14" i="4"/>
  <c r="D22" i="5" s="1"/>
  <c r="N15" i="4" l="1"/>
  <c r="V14" i="4"/>
  <c r="X14" i="4" s="1"/>
  <c r="C13" i="6"/>
  <c r="W14" i="4"/>
  <c r="O15" i="4"/>
  <c r="K16" i="4"/>
  <c r="E21" i="5"/>
  <c r="G21" i="5" s="1"/>
  <c r="P13" i="4"/>
  <c r="Q14" i="4" s="1"/>
  <c r="R15" i="4" s="1"/>
  <c r="M16" i="4" l="1"/>
  <c r="F12" i="6"/>
  <c r="I12" i="6" s="1"/>
  <c r="G12" i="6"/>
  <c r="S15" i="4"/>
  <c r="D23" i="5" s="1"/>
  <c r="T15" i="4"/>
  <c r="V15" i="4" l="1"/>
  <c r="C14" i="6"/>
  <c r="W15" i="4"/>
  <c r="X15" i="4"/>
  <c r="N16" i="4"/>
  <c r="O16" i="4"/>
  <c r="E22" i="5"/>
  <c r="G22" i="5" s="1"/>
  <c r="P14" i="4"/>
  <c r="Q15" i="4" s="1"/>
  <c r="R16" i="4" s="1"/>
  <c r="J12" i="6"/>
  <c r="K17" i="4" l="1"/>
  <c r="M17" i="4" s="1"/>
  <c r="F13" i="6"/>
  <c r="I13" i="6" s="1"/>
  <c r="G13" i="6"/>
  <c r="T16" i="4"/>
  <c r="S16" i="4"/>
  <c r="D24" i="5" s="1"/>
  <c r="V16" i="4" l="1"/>
  <c r="C15" i="6"/>
  <c r="W16" i="4"/>
  <c r="X16" i="4"/>
  <c r="N17" i="4"/>
  <c r="O17" i="4"/>
  <c r="J13" i="6"/>
  <c r="E23" i="5"/>
  <c r="G23" i="5" s="1"/>
  <c r="P15" i="4"/>
  <c r="Q16" i="4" s="1"/>
  <c r="R17" i="4" s="1"/>
  <c r="K18" i="4" l="1"/>
  <c r="M18" i="4" s="1"/>
  <c r="F14" i="6"/>
  <c r="I14" i="6" s="1"/>
  <c r="G14" i="6"/>
  <c r="T17" i="4"/>
  <c r="S17" i="4"/>
  <c r="D25" i="5" s="1"/>
  <c r="V17" i="4" l="1"/>
  <c r="C16" i="6"/>
  <c r="W17" i="4"/>
  <c r="X17" i="4"/>
  <c r="N18" i="4"/>
  <c r="O18" i="4"/>
  <c r="E24" i="5"/>
  <c r="G24" i="5" s="1"/>
  <c r="P16" i="4"/>
  <c r="Q17" i="4" s="1"/>
  <c r="R18" i="4" s="1"/>
  <c r="J14" i="6"/>
  <c r="F15" i="6" l="1"/>
  <c r="I15" i="6" s="1"/>
  <c r="G15" i="6"/>
  <c r="T18" i="4"/>
  <c r="S18" i="4"/>
  <c r="D26" i="5" s="1"/>
  <c r="V18" i="4" l="1"/>
  <c r="C17" i="6"/>
  <c r="W18" i="4"/>
  <c r="X18" i="4"/>
  <c r="J15" i="6"/>
  <c r="E25" i="5"/>
  <c r="G25" i="5" s="1"/>
  <c r="P17" i="4"/>
  <c r="Q18" i="4" s="1"/>
  <c r="R19" i="4" s="1"/>
  <c r="F16" i="6" l="1"/>
  <c r="G16" i="6"/>
  <c r="I16" i="6"/>
  <c r="E26" i="5" l="1"/>
  <c r="G26" i="5" s="1"/>
  <c r="P18" i="4"/>
  <c r="Q19" i="4" s="1"/>
  <c r="R20" i="4" s="1"/>
  <c r="J16" i="6"/>
  <c r="G17" i="6" l="1"/>
  <c r="I17" i="6"/>
  <c r="F17" i="6"/>
  <c r="J17" i="6" l="1"/>
  <c r="Q89" i="9" l="1"/>
  <c r="U19" i="4" s="1"/>
  <c r="H19" i="4" l="1"/>
  <c r="I19" i="4" l="1"/>
  <c r="J19" i="4" s="1"/>
  <c r="K19" i="4" l="1"/>
  <c r="M19" i="4" s="1"/>
  <c r="N19" i="4" l="1"/>
  <c r="O19" i="4"/>
  <c r="T19" i="4" l="1"/>
  <c r="S19" i="4"/>
  <c r="V19" i="4" l="1"/>
  <c r="C18" i="6"/>
  <c r="W19" i="4"/>
  <c r="X19" i="4"/>
  <c r="D27" i="5"/>
  <c r="Q92" i="9" l="1"/>
  <c r="Q97" i="9"/>
  <c r="Q95" i="9"/>
  <c r="Q93" i="9"/>
  <c r="Q91" i="9"/>
  <c r="Q99" i="9"/>
  <c r="Q98" i="9"/>
  <c r="Q100" i="9"/>
  <c r="Q90" i="9"/>
  <c r="U20" i="4" s="1"/>
  <c r="Q96" i="9"/>
  <c r="Q94" i="9"/>
  <c r="Q101" i="9"/>
  <c r="H28" i="4" l="1"/>
  <c r="U28" i="4"/>
  <c r="H21" i="4"/>
  <c r="I21" i="4" s="1"/>
  <c r="J21" i="4" s="1"/>
  <c r="U21" i="4"/>
  <c r="H29" i="4"/>
  <c r="I29" i="4" s="1"/>
  <c r="J29" i="4" s="1"/>
  <c r="U29" i="4"/>
  <c r="H23" i="4"/>
  <c r="I23" i="4" s="1"/>
  <c r="J23" i="4" s="1"/>
  <c r="U23" i="4"/>
  <c r="H30" i="4"/>
  <c r="U30" i="4"/>
  <c r="H25" i="4"/>
  <c r="U25" i="4"/>
  <c r="H31" i="4"/>
  <c r="I31" i="4" s="1"/>
  <c r="J31" i="4" s="1"/>
  <c r="U31" i="4"/>
  <c r="H27" i="4"/>
  <c r="I27" i="4" s="1"/>
  <c r="J27" i="4" s="1"/>
  <c r="U27" i="4"/>
  <c r="H24" i="4"/>
  <c r="U24" i="4"/>
  <c r="H26" i="4"/>
  <c r="I26" i="4" s="1"/>
  <c r="J26" i="4" s="1"/>
  <c r="U26" i="4"/>
  <c r="H22" i="4"/>
  <c r="I22" i="4" s="1"/>
  <c r="J22" i="4" s="1"/>
  <c r="U22" i="4"/>
  <c r="H20" i="4"/>
  <c r="I20" i="4" s="1"/>
  <c r="J20" i="4" s="1"/>
  <c r="Q102" i="9"/>
  <c r="E27" i="5"/>
  <c r="P19" i="4"/>
  <c r="Q20" i="4" s="1"/>
  <c r="R21" i="4" s="1"/>
  <c r="L102" i="9"/>
  <c r="I28" i="4"/>
  <c r="J28" i="4" s="1"/>
  <c r="I24" i="4"/>
  <c r="J24" i="4" s="1"/>
  <c r="I25" i="4"/>
  <c r="J25" i="4" s="1"/>
  <c r="I30" i="4"/>
  <c r="J30" i="4" s="1"/>
  <c r="U32" i="4" l="1"/>
  <c r="H32" i="4"/>
  <c r="G27" i="5"/>
  <c r="I18" i="6"/>
  <c r="F18" i="6"/>
  <c r="G18" i="6"/>
  <c r="I32" i="4"/>
  <c r="J18" i="6" l="1"/>
  <c r="K20" i="4"/>
  <c r="M20" i="4" s="1"/>
  <c r="J32" i="4"/>
  <c r="N20" i="4" l="1"/>
  <c r="K21" i="4" s="1"/>
  <c r="O20" i="4"/>
  <c r="S20" i="4" s="1"/>
  <c r="M21" i="4"/>
  <c r="N21" i="4" l="1"/>
  <c r="K22" i="4" s="1"/>
  <c r="T20" i="4"/>
  <c r="D28" i="5"/>
  <c r="M22" i="4"/>
  <c r="O21" i="4"/>
  <c r="V20" i="4" l="1"/>
  <c r="X20" i="4" s="1"/>
  <c r="C19" i="6"/>
  <c r="W20" i="4"/>
  <c r="O22" i="4"/>
  <c r="T21" i="4"/>
  <c r="S21" i="4"/>
  <c r="N22" i="4"/>
  <c r="K23" i="4" s="1"/>
  <c r="V21" i="4" l="1"/>
  <c r="C20" i="6"/>
  <c r="W21" i="4"/>
  <c r="X21" i="4"/>
  <c r="D29" i="5"/>
  <c r="M23" i="4"/>
  <c r="E28" i="5"/>
  <c r="P20" i="4"/>
  <c r="G28" i="5" l="1"/>
  <c r="O23" i="4"/>
  <c r="Q21" i="4"/>
  <c r="R22" i="4" s="1"/>
  <c r="I19" i="6"/>
  <c r="F19" i="6"/>
  <c r="G19" i="6"/>
  <c r="N23" i="4"/>
  <c r="K24" i="4" s="1"/>
  <c r="J19" i="6" l="1"/>
  <c r="P21" i="4"/>
  <c r="Q22" i="4" s="1"/>
  <c r="R23" i="4" s="1"/>
  <c r="E29" i="5"/>
  <c r="M24" i="4"/>
  <c r="T22" i="4"/>
  <c r="S22" i="4"/>
  <c r="V22" i="4" l="1"/>
  <c r="C21" i="6"/>
  <c r="W22" i="4"/>
  <c r="X22" i="4"/>
  <c r="T23" i="4"/>
  <c r="S23" i="4"/>
  <c r="D31" i="5" s="1"/>
  <c r="D30" i="5"/>
  <c r="G29" i="5"/>
  <c r="O24" i="4"/>
  <c r="N24" i="4"/>
  <c r="K25" i="4" s="1"/>
  <c r="F20" i="6"/>
  <c r="G20" i="6"/>
  <c r="I20" i="6"/>
  <c r="V23" i="4" l="1"/>
  <c r="C22" i="6"/>
  <c r="W23" i="4"/>
  <c r="X23" i="4"/>
  <c r="J20" i="6"/>
  <c r="M25" i="4"/>
  <c r="N25" i="4" l="1"/>
  <c r="K26" i="4" s="1"/>
  <c r="M26" i="4"/>
  <c r="E30" i="5"/>
  <c r="P22" i="4"/>
  <c r="O25" i="4"/>
  <c r="G30" i="5" l="1"/>
  <c r="F21" i="6"/>
  <c r="I21" i="6"/>
  <c r="G21" i="6"/>
  <c r="O26" i="4"/>
  <c r="P23" i="4"/>
  <c r="Q23" i="4"/>
  <c r="R24" i="4" s="1"/>
  <c r="E31" i="5"/>
  <c r="G31" i="5" s="1"/>
  <c r="N26" i="4"/>
  <c r="K27" i="4" s="1"/>
  <c r="J21" i="6" l="1"/>
  <c r="M27" i="4"/>
  <c r="S24" i="4"/>
  <c r="T24" i="4"/>
  <c r="Q24" i="4"/>
  <c r="R25" i="4" s="1"/>
  <c r="F22" i="6"/>
  <c r="G22" i="6"/>
  <c r="I22" i="6"/>
  <c r="J22" i="6" s="1"/>
  <c r="N27" i="4" l="1"/>
  <c r="K28" i="4" s="1"/>
  <c r="V24" i="4"/>
  <c r="C23" i="6"/>
  <c r="W24" i="4"/>
  <c r="X24" i="4"/>
  <c r="D32" i="5"/>
  <c r="M28" i="4"/>
  <c r="S25" i="4"/>
  <c r="D33" i="5" s="1"/>
  <c r="T25" i="4"/>
  <c r="O27" i="4"/>
  <c r="N28" i="4" l="1"/>
  <c r="K29" i="4" s="1"/>
  <c r="V25" i="4"/>
  <c r="C24" i="6"/>
  <c r="W25" i="4"/>
  <c r="X25" i="4"/>
  <c r="O28" i="4"/>
  <c r="M29" i="4"/>
  <c r="E32" i="5" l="1"/>
  <c r="G32" i="5" s="1"/>
  <c r="P24" i="4"/>
  <c r="O29" i="4"/>
  <c r="N29" i="4"/>
  <c r="K30" i="4" s="1"/>
  <c r="E33" i="5" l="1"/>
  <c r="G33" i="5" s="1"/>
  <c r="F23" i="6"/>
  <c r="G23" i="6"/>
  <c r="I23" i="6"/>
  <c r="J23" i="6" s="1"/>
  <c r="M30" i="4"/>
  <c r="Q25" i="4"/>
  <c r="R26" i="4" s="1"/>
  <c r="P25" i="4"/>
  <c r="N30" i="4" l="1"/>
  <c r="K31" i="4" s="1"/>
  <c r="M31" i="4"/>
  <c r="S26" i="4"/>
  <c r="D34" i="5" s="1"/>
  <c r="T26" i="4"/>
  <c r="F24" i="6"/>
  <c r="G24" i="6"/>
  <c r="I24" i="6"/>
  <c r="J24" i="6" s="1"/>
  <c r="O30" i="4"/>
  <c r="Q26" i="4"/>
  <c r="R27" i="4" s="1"/>
  <c r="M32" i="4" l="1"/>
  <c r="V26" i="4"/>
  <c r="C25" i="6"/>
  <c r="W26" i="4"/>
  <c r="X26" i="4"/>
  <c r="C12" i="8"/>
  <c r="C12" i="7"/>
  <c r="S27" i="4"/>
  <c r="D35" i="5" s="1"/>
  <c r="T27" i="4"/>
  <c r="O31" i="4"/>
  <c r="O32" i="4" s="1"/>
  <c r="N31" i="4"/>
  <c r="V27" i="4" l="1"/>
  <c r="C26" i="6"/>
  <c r="W27" i="4"/>
  <c r="X27" i="4"/>
  <c r="E34" i="5"/>
  <c r="G34" i="5" s="1"/>
  <c r="P26" i="4"/>
  <c r="F25" i="6" l="1"/>
  <c r="I25" i="6"/>
  <c r="J25" i="6" s="1"/>
  <c r="G25" i="6"/>
  <c r="Q27" i="4"/>
  <c r="R28" i="4" s="1"/>
  <c r="P27" i="4"/>
  <c r="E35" i="5"/>
  <c r="G35" i="5" s="1"/>
  <c r="F26" i="6" l="1"/>
  <c r="G26" i="6"/>
  <c r="I26" i="6"/>
  <c r="J26" i="6" s="1"/>
  <c r="T28" i="4"/>
  <c r="S28" i="4"/>
  <c r="D36" i="5" s="1"/>
  <c r="Q28" i="4"/>
  <c r="R29" i="4" s="1"/>
  <c r="V28" i="4" l="1"/>
  <c r="C27" i="6"/>
  <c r="X28" i="4"/>
  <c r="W28" i="4"/>
  <c r="S29" i="4"/>
  <c r="D37" i="5" s="1"/>
  <c r="T29" i="4"/>
  <c r="C28" i="6" s="1"/>
  <c r="V29" i="4" l="1"/>
  <c r="W29" i="4"/>
  <c r="X29" i="4"/>
  <c r="E36" i="5"/>
  <c r="G36" i="5" s="1"/>
  <c r="P28" i="4"/>
  <c r="I27" i="6" l="1"/>
  <c r="J27" i="6" s="1"/>
  <c r="F27" i="6"/>
  <c r="G27" i="6"/>
  <c r="P29" i="4"/>
  <c r="Q29" i="4"/>
  <c r="R30" i="4" s="1"/>
  <c r="E37" i="5"/>
  <c r="G37" i="5" s="1"/>
  <c r="S30" i="4" l="1"/>
  <c r="D38" i="5" s="1"/>
  <c r="T30" i="4"/>
  <c r="G28" i="6"/>
  <c r="I28" i="6"/>
  <c r="J28" i="6" s="1"/>
  <c r="F28" i="6"/>
  <c r="Q30" i="4"/>
  <c r="R31" i="4" s="1"/>
  <c r="V30" i="4" l="1"/>
  <c r="C29" i="6"/>
  <c r="W30" i="4"/>
  <c r="X30" i="4"/>
  <c r="T31" i="4"/>
  <c r="S31" i="4"/>
  <c r="V31" i="4" l="1"/>
  <c r="C30" i="6"/>
  <c r="W31" i="4"/>
  <c r="X31" i="4"/>
  <c r="T32" i="4"/>
  <c r="D39" i="5"/>
  <c r="S32" i="4"/>
  <c r="V32" i="4"/>
  <c r="D40" i="5" l="1"/>
  <c r="X32" i="4"/>
  <c r="E38" i="5"/>
  <c r="G38" i="5" s="1"/>
  <c r="P30" i="4"/>
  <c r="C5" i="8" l="1"/>
  <c r="C44" i="5"/>
  <c r="P31" i="4"/>
  <c r="Q31" i="4"/>
  <c r="I29" i="6"/>
  <c r="J29" i="6" s="1"/>
  <c r="G29" i="6"/>
  <c r="F29" i="6"/>
  <c r="E39" i="5"/>
  <c r="C31" i="6"/>
  <c r="C8" i="7" l="1"/>
  <c r="D7" i="12"/>
  <c r="I19" i="1"/>
  <c r="E40" i="5"/>
  <c r="M23" i="1"/>
  <c r="G39" i="5"/>
  <c r="I30" i="6"/>
  <c r="J30" i="6" s="1"/>
  <c r="F30" i="6"/>
  <c r="F31" i="6" s="1"/>
  <c r="G30" i="6"/>
  <c r="M20" i="1" l="1"/>
  <c r="G40" i="5"/>
  <c r="H11" i="1" a="1"/>
  <c r="H11" i="1" s="1"/>
  <c r="I31" i="6"/>
  <c r="C6" i="8"/>
  <c r="C45" i="5"/>
  <c r="C11" i="1"/>
  <c r="L11" i="1"/>
  <c r="C16" i="7"/>
  <c r="C9" i="7" l="1"/>
  <c r="D8" i="12"/>
  <c r="D10" i="12" s="1"/>
  <c r="I20" i="1"/>
  <c r="I22" i="1" s="1"/>
  <c r="C47" i="5"/>
  <c r="M19" i="1"/>
  <c r="C8" i="8"/>
  <c r="M18" i="1"/>
  <c r="C6" i="1"/>
  <c r="D11" i="1" s="1"/>
  <c r="E23" i="12" l="1"/>
  <c r="F35" i="12"/>
  <c r="D11" i="12"/>
  <c r="E22" i="7" s="1"/>
  <c r="C23" i="12"/>
  <c r="E12" i="12"/>
  <c r="D27" i="12"/>
  <c r="D23" i="12"/>
  <c r="C12" i="12"/>
  <c r="C13" i="8"/>
  <c r="C14" i="8"/>
  <c r="C6" i="7"/>
  <c r="D45" i="5"/>
  <c r="J20" i="1" s="1"/>
  <c r="D43" i="5"/>
  <c r="D46" i="5"/>
  <c r="J21" i="1" s="1"/>
  <c r="D44" i="5"/>
  <c r="J19" i="1" s="1"/>
  <c r="H35" i="12" l="1"/>
  <c r="G35" i="12"/>
  <c r="D30" i="12"/>
  <c r="D29" i="12"/>
  <c r="D47" i="5"/>
  <c r="J18" i="1"/>
  <c r="J22" i="1" s="1"/>
  <c r="D22" i="7"/>
  <c r="C13" i="7"/>
  <c r="I6" i="1" s="1"/>
  <c r="L6" i="1"/>
  <c r="C14" i="7"/>
  <c r="H6" i="1"/>
  <c r="C11" i="7"/>
  <c r="F22" i="7" l="1"/>
  <c r="H28" i="1" s="1"/>
  <c r="F21" i="7"/>
  <c r="H27" i="1" s="1"/>
  <c r="E28" i="1"/>
  <c r="F23" i="7"/>
  <c r="H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<sst xmlns="http://schemas.openxmlformats.org/spreadsheetml/2006/main" count="994" uniqueCount="572">
  <si>
    <t>DASHBOARD | OPEN-SOURCE</t>
  </si>
  <si>
    <t>Centro de Integridade Pública (CIP) | Oxfam Moçambique | CDD | Projecto FJ4D</t>
  </si>
  <si>
    <t>USD milhões</t>
  </si>
  <si>
    <t>das receitas brutas</t>
  </si>
  <si>
    <t>USD milhões/ano</t>
  </si>
  <si>
    <t>Receitas Fiscais
Totais 2022-2048</t>
  </si>
  <si>
    <t>Government Take
Sobre Rec. Brutas</t>
  </si>
  <si>
    <t>Receita Média
Anual</t>
  </si>
  <si>
    <t>Cenário base USD 12/MMBtu</t>
  </si>
  <si>
    <t>Média 2022-2048</t>
  </si>
  <si>
    <t>USD M acumulados</t>
  </si>
  <si>
    <t>IRPC
(Maior Instrumento)</t>
  </si>
  <si>
    <t>Payback ENH
(Dividendos Líquidos)</t>
  </si>
  <si>
    <t>Dividendos Líquidos
ENH 2033-2048</t>
  </si>
  <si>
    <t>Zero 2022-2026</t>
  </si>
  <si>
    <t>11 anos sem retorno líquido</t>
  </si>
  <si>
    <t>COMPOSIÇÃO DAS RECEITAS (2022-2048)</t>
  </si>
  <si>
    <t>TIMING DAS RECEITAS (% por fase)</t>
  </si>
  <si>
    <t>Ano</t>
  </si>
  <si>
    <t>Modelo</t>
  </si>
  <si>
    <t>Instrumento</t>
  </si>
  <si>
    <t>USD M</t>
  </si>
  <si>
    <t>%</t>
  </si>
  <si>
    <t>Indicador</t>
  </si>
  <si>
    <t>Valor</t>
  </si>
  <si>
    <t>Royalty (IPP)</t>
  </si>
  <si>
    <t>Profit Oil Estado</t>
  </si>
  <si>
    <t>IRPC</t>
  </si>
  <si>
    <t>Declínio 2034-2048</t>
  </si>
  <si>
    <t>Bónus</t>
  </si>
  <si>
    <t>ZERO</t>
  </si>
  <si>
    <t>Maior instrumento ausente</t>
  </si>
  <si>
    <t>TOTAL</t>
  </si>
  <si>
    <t>Payback ENH</t>
  </si>
  <si>
    <t>Dividendos líquidos iniciados</t>
  </si>
  <si>
    <t>Pico receitas anuais</t>
  </si>
  <si>
    <t>Cenário</t>
  </si>
  <si>
    <t>Preço</t>
  </si>
  <si>
    <t>Receitas Fiscais (USD M)</t>
  </si>
  <si>
    <t>vs Base</t>
  </si>
  <si>
    <t>Stress (USD 8)</t>
  </si>
  <si>
    <t>Base (USD 12)</t>
  </si>
  <si>
    <t>Optimista (USD 16)</t>
  </si>
  <si>
    <t>Transição Energética</t>
  </si>
  <si>
    <t>Deck variável</t>
  </si>
  <si>
    <t>LEGENDA DE CORES</t>
  </si>
  <si>
    <t>Centro de Integridade Pública (CIP) | Projecto FJ4D</t>
  </si>
  <si>
    <t>■</t>
  </si>
  <si>
    <t>1. PARÂMETROS DO PROJECTO</t>
  </si>
  <si>
    <t>Parâmetro</t>
  </si>
  <si>
    <t>Unidade</t>
  </si>
  <si>
    <t>Fonte</t>
  </si>
  <si>
    <t>Reservas do Campo Coral</t>
  </si>
  <si>
    <t>bcm</t>
  </si>
  <si>
    <t>ENI (2022)</t>
  </si>
  <si>
    <t>Capacidade LNG</t>
  </si>
  <si>
    <t>MTPA</t>
  </si>
  <si>
    <t>Início de Produção</t>
  </si>
  <si>
    <t>Fim de Produção</t>
  </si>
  <si>
    <t>CCPP Área 4</t>
  </si>
  <si>
    <t>Taxa de Declínio (cenário base)</t>
  </si>
  <si>
    <t>Produção histórica 2022-2026</t>
  </si>
  <si>
    <t>MT</t>
  </si>
  <si>
    <t>PESOE (2025 e 2026)</t>
  </si>
  <si>
    <t>Factor de Conversão MMBtu/MT</t>
  </si>
  <si>
    <t>MMBtu/MT</t>
  </si>
  <si>
    <t>Custos de Desenvolvimento (Coral Sul)</t>
  </si>
  <si>
    <t>Total Custos Recuperáveis</t>
  </si>
  <si>
    <t>Taxa de Aprovação de Custos em Auditoria</t>
  </si>
  <si>
    <t>Cost Recovery Limit</t>
  </si>
  <si>
    <t>Contrato Área 4, Art. 9.5</t>
  </si>
  <si>
    <t>Participação ENH (Carried Interest)</t>
  </si>
  <si>
    <t>Contrato Área 4, Art. 9.13</t>
  </si>
  <si>
    <t>IRPC Reduzido (primeiros 8 anos)</t>
  </si>
  <si>
    <t>IRPC Normal (após 8 anos)</t>
  </si>
  <si>
    <t>Lei Fiscal Moçambique</t>
  </si>
  <si>
    <t>Escalão Factor R</t>
  </si>
  <si>
    <t>Estado (%)</t>
  </si>
  <si>
    <t>Investidor (%)</t>
  </si>
  <si>
    <t>R &lt; 1</t>
  </si>
  <si>
    <t>Contrato Área 4, Art. 9.10</t>
  </si>
  <si>
    <t>1 ≤ R &lt; 2</t>
  </si>
  <si>
    <t>2 ≤ R &lt; 3</t>
  </si>
  <si>
    <t>3 ≤ R &lt; 4</t>
  </si>
  <si>
    <t>R ≥ 4</t>
  </si>
  <si>
    <t>5. CENÁRIOS DE PREÇOS (USD/MMBtu)</t>
  </si>
  <si>
    <t>Tipo</t>
  </si>
  <si>
    <t>Fonte/Justificação</t>
  </si>
  <si>
    <t>Stress</t>
  </si>
  <si>
    <t>Constante 2027-2048</t>
  </si>
  <si>
    <t>Base</t>
  </si>
  <si>
    <t>Optimista</t>
  </si>
  <si>
    <t>Descendente 2026-2048</t>
  </si>
  <si>
    <t>World Bank Commodity Price Data; IEA WEO 2024; Fattouh &amp; Imsirovic (2021)</t>
  </si>
  <si>
    <t>Nota: Preços 2022-2026 são históricos/observados. 2022=4,24; 2023=9,05; 2024=9,52; 2025=8,73 (preço realizado RPCGE/FSM); 2026=12 (projecção PESOE).</t>
  </si>
  <si>
    <t>6. PREVISÃO DA PRODUÇÃO (Cenário Base)</t>
  </si>
  <si>
    <t>Ramp-up 2022-2023</t>
  </si>
  <si>
    <t>Valores históricos</t>
  </si>
  <si>
    <t>PESOE 2025 e 2026</t>
  </si>
  <si>
    <t>Platô (capacidade base)</t>
  </si>
  <si>
    <t>ENI nameplate; ver Aba 8 por cenário</t>
  </si>
  <si>
    <t>Taxa de declínio base</t>
  </si>
  <si>
    <t>Ano fim do Platô (base)</t>
  </si>
  <si>
    <t>Calculado pelo modelo</t>
  </si>
  <si>
    <t>Produção Total do Projecto (base)</t>
  </si>
  <si>
    <t>Conversões ENI (2022)</t>
  </si>
  <si>
    <t>7. PREMISSAS DA DÍVIDA ENH</t>
  </si>
  <si>
    <t>Dívida Exploração</t>
  </si>
  <si>
    <t>IGEPE, Quadro IX.24 (2023)</t>
  </si>
  <si>
    <t>Dívida Desenvolvimento</t>
  </si>
  <si>
    <t>Dívida Total (31/12/2023)</t>
  </si>
  <si>
    <t>IGEPE (2023)</t>
  </si>
  <si>
    <t>Taxa de Juro (LIBOR+1%)</t>
  </si>
  <si>
    <t>Contrato Área 4, Art. 9.13(f)</t>
  </si>
  <si>
    <t>PROJECÇÃO DE PRODUÇÃO E RECEITAS BRUTAS</t>
  </si>
  <si>
    <t>Cenário activo:</t>
  </si>
  <si>
    <t>Fase</t>
  </si>
  <si>
    <t>Produção (MT)</t>
  </si>
  <si>
    <t>Produção (MMBtu)</t>
  </si>
  <si>
    <t>Receita Bruta (USD M)</t>
  </si>
  <si>
    <t>Royalty 2% (USD M)</t>
  </si>
  <si>
    <t>Receita Disponível (USD M)</t>
  </si>
  <si>
    <t>Ramp-up</t>
  </si>
  <si>
    <t>Platô</t>
  </si>
  <si>
    <t>Declínio</t>
  </si>
  <si>
    <t>Fundo azul claro = dados históricos verificados (RPCGE/FSM/PESOE)  |  Verde = Platô projectado  |  Âmbar = Declínio projectado</t>
  </si>
  <si>
    <t>COST RECOVERY E PARTILHA DO PETRÓLEO-LUCRO (PROFIT OIL)</t>
  </si>
  <si>
    <t>Custos Exploração
(100%/ano)</t>
  </si>
  <si>
    <t>CAPEX Acumulado</t>
  </si>
  <si>
    <t>Petróleo Custo
(Recuperação Efectiva)</t>
  </si>
  <si>
    <t>Saldo Não
Recuperado</t>
  </si>
  <si>
    <t>Profit Oil
Total</t>
  </si>
  <si>
    <t>Entradas Caixa
Acumuladas Investidor</t>
  </si>
  <si>
    <t>Factor R</t>
  </si>
  <si>
    <t>Estado %</t>
  </si>
  <si>
    <t>Profit Oil
Estado</t>
  </si>
  <si>
    <t>Profit Oil
Investidor</t>
  </si>
  <si>
    <t>Lucro Tributável
Investidor</t>
  </si>
  <si>
    <t>Prejuízo
Acumulado</t>
  </si>
  <si>
    <t>até 2021</t>
  </si>
  <si>
    <t>Desenvolvimento</t>
  </si>
  <si>
    <t>2022</t>
  </si>
  <si>
    <t>2023</t>
  </si>
  <si>
    <t>2024</t>
  </si>
  <si>
    <t>2025</t>
  </si>
  <si>
    <t>Total</t>
  </si>
  <si>
    <t>IPP (Royalty)</t>
  </si>
  <si>
    <t>Petróleo-Lucro (Profit Oil)</t>
  </si>
  <si>
    <t>Bónus de Produção</t>
  </si>
  <si>
    <t>Total Anual</t>
  </si>
  <si>
    <t>TOTAL 2022-2048</t>
  </si>
  <si>
    <t>COMPOSIÇÃO DAS RECEITAS TOTAIS (2022-2048):</t>
  </si>
  <si>
    <t>PREMISSAS DA DÍVIDA ENH</t>
  </si>
  <si>
    <t>Participação ENH</t>
  </si>
  <si>
    <t>IGEPE, Quadro IX.24 (31/12/2023)</t>
  </si>
  <si>
    <t>LÓGICA DO CÁLCULO:</t>
  </si>
  <si>
    <t>1. Dividendos Brutos = 10% × Profit Oil do Investidor (Aba 3, coluna T)</t>
  </si>
  <si>
    <t>2. Juros = 6% × Saldo Dívida do ano anterior</t>
  </si>
  <si>
    <t>3. Disponível p/ Amortização = Dividendos Brutos − Juros (se positivo)</t>
  </si>
  <si>
    <t>4. Amortização = MIN(Disponível, Saldo Dívida)</t>
  </si>
  <si>
    <t>5. Saldo Dívida = Saldo Anterior − Amortização (decresce até zero em 2033)</t>
  </si>
  <si>
    <t>6. Dividendos Líquidos = Dividendos Brutos − Juros − Amortização (positivo após payback)</t>
  </si>
  <si>
    <t>PROJECÇÃO DA DÍVIDA E RETORNO LÍQUIDO ENH (USD milhões)</t>
  </si>
  <si>
    <t>Div. Brutos
ENH (10%)</t>
  </si>
  <si>
    <t>Saldo Dívida
Início Ano</t>
  </si>
  <si>
    <t>Juros
(6%)</t>
  </si>
  <si>
    <t>Amortização</t>
  </si>
  <si>
    <t>Capitalização
(défice)</t>
  </si>
  <si>
    <t>Saldo Dívida
Fim Ano</t>
  </si>
  <si>
    <t>Div. Líquidos
ENH</t>
  </si>
  <si>
    <t>Acumulado
Líquido</t>
  </si>
  <si>
    <t>RESUMO EXECUTIVO DO MODELO</t>
  </si>
  <si>
    <t>Fonte / Nota</t>
  </si>
  <si>
    <t>Receita Bruta Total (2022-2048)</t>
  </si>
  <si>
    <t>Receitas Fiscais Totais (2022-2048)</t>
  </si>
  <si>
    <t>Government Take (sobre receitas brutas)</t>
  </si>
  <si>
    <t>Ver nota metodológica na Aba 1</t>
  </si>
  <si>
    <t>Receita Fiscal Média Anual</t>
  </si>
  <si>
    <t>USD M/ano</t>
  </si>
  <si>
    <t>27 anos 2022-2048</t>
  </si>
  <si>
    <t>Ano de Payback ENH</t>
  </si>
  <si>
    <t>Dividendos Líquidos ENH (Total)</t>
  </si>
  <si>
    <t>2033-2048</t>
  </si>
  <si>
    <t>Dividendos Líquidos ENH Zero Até</t>
  </si>
  <si>
    <t>Preço (USD/MMBtu)</t>
  </si>
  <si>
    <t>Gov Take (%)</t>
  </si>
  <si>
    <t>vs Cenário Base</t>
  </si>
  <si>
    <t>NOTAS METODOLÓGICAS</t>
  </si>
  <si>
    <t>1. Factor R: Escalões do Contrato Área 4 (2006), Art. 9.10, p.34.</t>
  </si>
  <si>
    <t>2. Taxa de juro ENH: 6% (LIBOR + 1%), Contrato Área 4, Art. 9.13(f).</t>
  </si>
  <si>
    <t>3. Custos recuperáveis: Apenas Coral Sul (USD 11.032M). Rovuma LNG e Coral Norte fora do escopo.</t>
  </si>
  <si>
    <t>4. Dívida ENH: USD 1.356M (IGEPE, 31/12/2023). Coral Norte estima USD 720M adicional (não incluído).</t>
  </si>
  <si>
    <t>RESUMO EXECUTIVO E VALIDAÇÃO DO MODELO</t>
  </si>
  <si>
    <t>INDICADORES-CHAVE</t>
  </si>
  <si>
    <t>Receita Bruta Total</t>
  </si>
  <si>
    <t>RPCGE / FSM (Real)</t>
  </si>
  <si>
    <t>Modelo (Projecção)</t>
  </si>
  <si>
    <t>Diferença (USD M)</t>
  </si>
  <si>
    <t>Variância (%)</t>
  </si>
  <si>
    <t>Avaliação</t>
  </si>
  <si>
    <t>ESTRUTURA DO PROJECTO</t>
  </si>
  <si>
    <t>Duração (anos)</t>
  </si>
  <si>
    <t>Produção Acumulada (MT)</t>
  </si>
  <si>
    <t>% do Total</t>
  </si>
  <si>
    <t>Ramp-up (2022-2023)</t>
  </si>
  <si>
    <t>Platô (2024-2033)</t>
  </si>
  <si>
    <t>2024-2026 PESOE; restante modelo</t>
  </si>
  <si>
    <t>Declínio (2034-2048)</t>
  </si>
  <si>
    <t>Modelo (taxa 7%/ano base)</t>
  </si>
  <si>
    <t>2022-2048</t>
  </si>
  <si>
    <t>PARÂMETROS AVANÇADOS, CENÁRIOS E INPUTS PREENCHÍVEIS</t>
  </si>
  <si>
    <t>1. CONTROLO GERAL DO MODELO</t>
  </si>
  <si>
    <t>Seleccionado</t>
  </si>
  <si>
    <t>Observação</t>
  </si>
  <si>
    <t>Cenário activo</t>
  </si>
  <si>
    <t>Alterar aqui para mudar cenário</t>
  </si>
  <si>
    <t>Ano inicial produção</t>
  </si>
  <si>
    <t>Histórico</t>
  </si>
  <si>
    <t>Ano fim do modelo</t>
  </si>
  <si>
    <t>Conversão LNG (MMBtu/MT)</t>
  </si>
  <si>
    <t>Factor físico</t>
  </si>
  <si>
    <t>Royalty / IPP</t>
  </si>
  <si>
    <t>Águas profundas ≥500m, Art. 9.3</t>
  </si>
  <si>
    <t>Taxa de auditoria custo elegível</t>
  </si>
  <si>
    <t>Haircut default 99,8%</t>
  </si>
  <si>
    <t>IRPC reduzido</t>
  </si>
  <si>
    <t>Período de incentivo 2022-2029</t>
  </si>
  <si>
    <t>IRPC normal</t>
  </si>
  <si>
    <t>Taxa plena após 8 anos</t>
  </si>
  <si>
    <t>Anos de IRPC reduzido</t>
  </si>
  <si>
    <t>2022-2029 conforme contrato</t>
  </si>
  <si>
    <t>Carried Interest, Art. 9.13</t>
  </si>
  <si>
    <t>Taxa de juro ENH</t>
  </si>
  <si>
    <t>LIBOR+1%, proxy 6%</t>
  </si>
  <si>
    <t>2. TABELA PARAMÉTRICA DO FACTOR R</t>
  </si>
  <si>
    <t>Investidor %</t>
  </si>
  <si>
    <t>3. ENH / FINANCIAMENTO</t>
  </si>
  <si>
    <t>Capacidade de platô (MTPA)</t>
  </si>
  <si>
    <t>Base = ENI nameplate Coral Sul</t>
  </si>
  <si>
    <t>Taxa de declínio anual</t>
  </si>
  <si>
    <t>Stress &gt; Base &gt; Optimista</t>
  </si>
  <si>
    <t>Dívida inicial 2022</t>
  </si>
  <si>
    <t>Saldo IGEPE início do modelo</t>
  </si>
  <si>
    <t>Ano fim do platô</t>
  </si>
  <si>
    <t>Mais tardio no optimista</t>
  </si>
  <si>
    <t>Dívida total 2023</t>
  </si>
  <si>
    <t>Saldo reportado 31/12/2023</t>
  </si>
  <si>
    <t>Taxa de juro</t>
  </si>
  <si>
    <t>Ligado à Aba 5</t>
  </si>
  <si>
    <t>Produção observada 2022</t>
  </si>
  <si>
    <t>Histórico PESOE</t>
  </si>
  <si>
    <t>Produção observada 2023</t>
  </si>
  <si>
    <t>Produção observada 2024</t>
  </si>
  <si>
    <t>Produção observada 2025</t>
  </si>
  <si>
    <t>Produção observada 2026</t>
  </si>
  <si>
    <t>Histórico realizado (RPCGE/FSM)</t>
  </si>
  <si>
    <t>Histórico realizado</t>
  </si>
  <si>
    <t>Deck editável</t>
  </si>
  <si>
    <t>NOTA: Este deck de preços aplica-se APENAS ao Cenário de Transição Energética. Os cenários Stress/Base/Optimista usam preços constantes (USD 8/12/16) conforme Aba 1. Âncoras: World Bank Commodity Price Data; IEA WEO 2024; Fattouh &amp; Imsirovic (2021), OIES.</t>
  </si>
  <si>
    <t>Taxa</t>
  </si>
  <si>
    <t>Fonte/Observação</t>
  </si>
  <si>
    <t>Input/âncora</t>
  </si>
  <si>
    <t>Ganho eficiência 2026-2030</t>
  </si>
  <si>
    <t>Reduz crescimento variável</t>
  </si>
  <si>
    <t>Uplift envelhecimento após 2038</t>
  </si>
  <si>
    <t>Manutenção correctiva crescente</t>
  </si>
  <si>
    <t>Tema</t>
  </si>
  <si>
    <t>Âncora</t>
  </si>
  <si>
    <t>URL</t>
  </si>
  <si>
    <t>Uso no Modelo</t>
  </si>
  <si>
    <t>Capacidade Coral Sul</t>
  </si>
  <si>
    <t>ENI</t>
  </si>
  <si>
    <t>https://www.eni.com/en-IT/actions/global-activities/mozambique/coral-south.html</t>
  </si>
  <si>
    <t>Capacidade 3.37 MTPA; reservas</t>
  </si>
  <si>
    <t>Mercado GNL</t>
  </si>
  <si>
    <t>World Bank Commodities</t>
  </si>
  <si>
    <t>https://www.worldbank.org/en/research/commodity-markets</t>
  </si>
  <si>
    <t>Trajectória preços 2026+</t>
  </si>
  <si>
    <t>Pink Sheet 2025</t>
  </si>
  <si>
    <t>World Bank</t>
  </si>
  <si>
    <t>https://thedocs.worldbank.org/en/doc/74e8be41ceb20fa0da750cda2f6b9e4e-0050012026</t>
  </si>
  <si>
    <t>Preço 2025 USD 8,73/MMBtu</t>
  </si>
  <si>
    <t>Inflação Moçambique</t>
  </si>
  <si>
    <t>IMF Article IV 2026</t>
  </si>
  <si>
    <t>https://www.imf.org/en/countries/moz</t>
  </si>
  <si>
    <t>Inflação 2025-2026</t>
  </si>
  <si>
    <t>Factor R / CCPP</t>
  </si>
  <si>
    <t>CIP / INP</t>
  </si>
  <si>
    <t>https://inp.gov.mz/wp-content/uploads/2024/08/Area4ENI1</t>
  </si>
  <si>
    <t>Escalões Art. 9.10</t>
  </si>
  <si>
    <t>Custos MRV</t>
  </si>
  <si>
    <t>RPCGE 2024</t>
  </si>
  <si>
    <t>Tribunal Administrativo Moçambique</t>
  </si>
  <si>
    <t>Dívida ENH</t>
  </si>
  <si>
    <t>IGEPE 2023</t>
  </si>
  <si>
    <t>Relatório IGEPE 31/12/2023</t>
  </si>
  <si>
    <t>Quadro IX.24 dívida por projecto</t>
  </si>
  <si>
    <t>IEA WEO 2024</t>
  </si>
  <si>
    <t>IEA</t>
  </si>
  <si>
    <t>https://www.iea.org/reports/world-energy-outlook-2024</t>
  </si>
  <si>
    <t>Capacidade GNL global; preços</t>
  </si>
  <si>
    <t>GUIA DE PREENCHIMENTO E CONTROLO DO MODELO</t>
  </si>
  <si>
    <t>1. O QUE PREENCHER ANTES DE CADA ACTUALIZAÇÃO</t>
  </si>
  <si>
    <t>Item a actualizar</t>
  </si>
  <si>
    <t>Onde preencher</t>
  </si>
  <si>
    <t>Periodicidade</t>
  </si>
  <si>
    <t>Estado actual</t>
  </si>
  <si>
    <t>Sempre antes de análise</t>
  </si>
  <si>
    <t>Input</t>
  </si>
  <si>
    <t>Usar Base para cenário central</t>
  </si>
  <si>
    <t>Produção observada 2025-2026</t>
  </si>
  <si>
    <t>Quando PESOE ou INP actualizar</t>
  </si>
  <si>
    <t>Preenchido</t>
  </si>
  <si>
    <t>Substituir estimativas por dados oficiais</t>
  </si>
  <si>
    <t>Deck de preços LNG 2026-2048</t>
  </si>
  <si>
    <t>Semestral/anual</t>
  </si>
  <si>
    <t>Actualizar conforme outlook WB/IEA</t>
  </si>
  <si>
    <t>Inflação Moçambique 2026+</t>
  </si>
  <si>
    <t>Anual</t>
  </si>
  <si>
    <t>Ancorar no IMF Article IV mais recente</t>
  </si>
  <si>
    <t>Custos operacionais OPEX</t>
  </si>
  <si>
    <t>Rever contra contas auditadas ENI</t>
  </si>
  <si>
    <t>Taxa de auditoria custos</t>
  </si>
  <si>
    <t>Quando auditoria completada</t>
  </si>
  <si>
    <t>99,8%</t>
  </si>
  <si>
    <t>Dívida e juro ENH</t>
  </si>
  <si>
    <t>Actualizar com IGEPE / demonstrações financeiras</t>
  </si>
  <si>
    <t>Dados históricos receitas</t>
  </si>
  <si>
    <t>Anual (RPCGE)</t>
  </si>
  <si>
    <t>Input histórico</t>
  </si>
  <si>
    <t>2022-2025 preenchido</t>
  </si>
  <si>
    <t>Adicionar ano quando RPCGE publicado</t>
  </si>
  <si>
    <t>Aba</t>
  </si>
  <si>
    <t>Célula/Intervalo</t>
  </si>
  <si>
    <t>Descrição</t>
  </si>
  <si>
    <t>Quem Actualiza</t>
  </si>
  <si>
    <t>Comentário</t>
  </si>
  <si>
    <t>8 Parametros Avancados</t>
  </si>
  <si>
    <t>F5</t>
  </si>
  <si>
    <t>Analista</t>
  </si>
  <si>
    <t>Deve ficar 'Base' no cenário central</t>
  </si>
  <si>
    <t>C28:E30</t>
  </si>
  <si>
    <t>Capacidade platô / declínio / fim platô</t>
  </si>
  <si>
    <t>Rever quando nova evidência operacional</t>
  </si>
  <si>
    <t>C49:E74</t>
  </si>
  <si>
    <t>Deck de preços LNG</t>
  </si>
  <si>
    <t>Actualizar com outlook macro mais recente</t>
  </si>
  <si>
    <t>C98:F102</t>
  </si>
  <si>
    <t>Parâmetros de OPEX</t>
  </si>
  <si>
    <t>Rever contra benchmarks e contas ENI</t>
  </si>
  <si>
    <t>4 Receitas Fiscais</t>
  </si>
  <si>
    <t>C4:F7</t>
  </si>
  <si>
    <t>5 Analise ENH</t>
  </si>
  <si>
    <t>C8:C12</t>
  </si>
  <si>
    <t>Premissas dívida ENH</t>
  </si>
  <si>
    <t>Actualizar com IGEPE e relatório RPCGE</t>
  </si>
  <si>
    <t>2 Producao Receitas</t>
  </si>
  <si>
    <t>D4:D8</t>
  </si>
  <si>
    <t>Actualizar com INP/PESOE</t>
  </si>
  <si>
    <t>0 Dashboard</t>
  </si>
  <si>
    <t>B3:B5</t>
  </si>
  <si>
    <t>Cenário do dashboard</t>
  </si>
  <si>
    <t>Automático</t>
  </si>
  <si>
    <t>Reflecte escolha da Aba 8</t>
  </si>
  <si>
    <t>Este modelo foi desenvolvido pelo Centro de Integridade Pública (CIP), no âmbito do Projecto FJ4D financiado pelo Energy Transition Fund, com parceria da Oxfam Moçambique e do CDD. O modelo é publicado em formato open-source para permitir replicação, verificação independente e actualização por terceiros. Os autores declaram independência total em relação às empresas operadoras (ENI, TotalEnergies, ExxonMobil) e ao Governo de Moçambique. As opiniões e análises são da responsabilidade dos autores. O modelo usa exclusivamente dados públicos verificáveis. Citação sugerida: Mate, R. (2026). Modelo Fiscal Coral Sul FLNG. CIP/Oxfam/CDD. Disponível em: [repositório CIP].</t>
  </si>
  <si>
    <t>MODELO FISCAL - CORAL SUL FLNG</t>
  </si>
  <si>
    <t>INDICADORES-CHAVE - CENÁRIO BASE (USD 12/MMBtu)</t>
  </si>
  <si>
    <t>Ano - zero antes disso</t>
  </si>
  <si>
    <t>VALIDAÇÃO HISTÓRICA - VARIÂNCIA DO MODELO</t>
  </si>
  <si>
    <t>Real (FSM/RPCGE)</t>
  </si>
  <si>
    <t>ANÁLISE DE SENSIBILIDADE - RECEITAS FISCAIS TOTAIS POR CENÁRIO DE PREÇO</t>
  </si>
  <si>
    <t>CIP | Projecto FJ4D | Open-source - Dados: RPCGE, FSM, IGEPE, PESOE, CCPP Área 4 | Março 2026 | Versão final para publicação</t>
  </si>
  <si>
    <t>Azul - Input/premissa (editável)</t>
  </si>
  <si>
    <t>Preto - Fórmula calculada (não editar)</t>
  </si>
  <si>
    <t>Verde - Ligação entre abas (não editar)</t>
  </si>
  <si>
    <t>ENI (2017) - 3,37 MTPA; INP (2025) expansão 3,55 MTPA</t>
  </si>
  <si>
    <t>OpenOil (2021); Denzel revisão 2025 - 7% base, 8% stress, 6% optimista</t>
  </si>
  <si>
    <t>BP Statistical Review; Argus; ICIS - padrão de mercado GNL</t>
  </si>
  <si>
    <t>2. PREMISSAS DE CUSTOS - CORAL SOUTH PROJECT (USD milhões)</t>
  </si>
  <si>
    <t>Custos de Exploração (Área 4 - MRV)</t>
  </si>
  <si>
    <t>3. REGIME FISCAL - CONTRATO ÁREA 4 (2006)</t>
  </si>
  <si>
    <t>Contrato Área 4, Art. 9.3 - Águas ≥500m: 2%</t>
  </si>
  <si>
    <t>Contrato Área 4 - 2022-2029</t>
  </si>
  <si>
    <t>4. ESCALÕES DO FACTOR R - CONTRATO ÁREA 4, ART. 9.10, P.34</t>
  </si>
  <si>
    <t>IEA WEO 2024 - cenário de transição acelerada</t>
  </si>
  <si>
    <t>OpenOil (2021) - referência para comparabilidade</t>
  </si>
  <si>
    <t>Oxfam/Hubert (2019) - cenário de alta sustentada</t>
  </si>
  <si>
    <t>Modelo Fiscal Coral Sul FLNG | Centro de Integridade Pública (CIP) | Open-source - Projecto FJ4D</t>
  </si>
  <si>
    <t>8 Parametros Avancados - célula F5</t>
  </si>
  <si>
    <t>8 Parametros Avancados - C33:C37</t>
  </si>
  <si>
    <t>8 Parametros Avancados - C49:E74</t>
  </si>
  <si>
    <t>8 Parametros Avancados - C79:C93</t>
  </si>
  <si>
    <t>8 Parametros Avancados - C98:F102</t>
  </si>
  <si>
    <t>8 Parametros Avancados - F12</t>
  </si>
  <si>
    <t>8 Parametros Avancados - K12:K14</t>
  </si>
  <si>
    <t>4 Receitas Fiscais - C4:F7</t>
  </si>
  <si>
    <t>IMF WEO Jan 2026 - convergência prudente 3% a partir 2036</t>
  </si>
  <si>
    <t>RECEITAS FISCAIS TOTAIS (2022-2048) - CENÁRIO BASE</t>
  </si>
  <si>
    <t>VALIDAÇÃO COM DADOS HISTÓRICOS - CALIBRAÇÃO DO MODELO</t>
  </si>
  <si>
    <t>NOTA METODOLÓGICA - GOVERNMENT TAKE</t>
  </si>
  <si>
    <t>- Royalty (IPP)</t>
  </si>
  <si>
    <t>- Profit Oil Estado</t>
  </si>
  <si>
    <t>- IRPC</t>
  </si>
  <si>
    <t>- Bónus de Produção</t>
  </si>
  <si>
    <t>ANÁLISE DE SENSIBILIDADE - RECEITAS FISCAIS POR PREÇO DO GNL</t>
  </si>
  <si>
    <t>5. Bónus: Art. 12 CCPP - USD 1M (início produção) + USD 1M (≥25.000 BOE/dia) + USD 5M (≥100.000 BOE/dia).</t>
  </si>
  <si>
    <t>6. I e II Acordos Complementares analisados - não alteram termos fiscais nucleares.</t>
  </si>
  <si>
    <t>8. BOE: Barril de Petróleo Equivalente - 1 barril = 6.000 pés cúbicos de gás natural.</t>
  </si>
  <si>
    <t>ANÁLISE DA PARTICIPAÇÃO ENH (10%) - DÍVIDA CARRIED INTEREST</t>
  </si>
  <si>
    <t>RECEITAS FISCAIS DO ESTADO - CORAL SUL FLNG</t>
  </si>
  <si>
    <t>RECEITAS HISTÓRICAS (USD milhões) - Fonte: RPCGE / FSM</t>
  </si>
  <si>
    <t>PROJECÇÃO DE RECEITAS FISCAIS - CENÁRIO BASE USD 12/MMBtu (USD milhões)</t>
  </si>
  <si>
    <t>Custos Desenvolvimento
(25%/ano - 4 anos)</t>
  </si>
  <si>
    <t>Nota metodológica - Government Take é calculado sobre receitas brutas totais (métrica macroeconómica). O valor de 49% citado em documentos oficiais é calculado sobre receitas após custos (métrica da indústria). Ambos são correctos para as suas métricas respectivas. Os países comparadores (Gana, Tanzânia, Angola) reportam o take sobre receitas após custos - a comparação directa com o calculado neste modelo não é metodologicamente válida. Ver Aba 7 para discussão completa.</t>
  </si>
  <si>
    <t>2036-2048</t>
  </si>
  <si>
    <t>Limites do Factor R</t>
  </si>
  <si>
    <t>Previsão/actualizável - PESOE 2026</t>
  </si>
  <si>
    <t>Alterar se a taxa oficial diferente</t>
  </si>
  <si>
    <t>Primeiros 2 anos</t>
  </si>
  <si>
    <t>Platô 2024-2033</t>
  </si>
  <si>
    <t>Preços</t>
  </si>
  <si>
    <t>Preços constantes usados no modelo</t>
  </si>
  <si>
    <t>Preço LNG (USD/MMBtu) - Fixo</t>
  </si>
  <si>
    <t>Fixo Base</t>
  </si>
  <si>
    <t xml:space="preserve"> Seleccionado</t>
  </si>
  <si>
    <t>Variavel Base / MT</t>
  </si>
  <si>
    <t>Nota: Total histórico 2022-2025: USD 252,8M (média USD 63,2M/ano).</t>
  </si>
  <si>
    <t>19,46% das receitas totais</t>
  </si>
  <si>
    <t>45,7% das receitas totais</t>
  </si>
  <si>
    <t>34,7% das receitas totais</t>
  </si>
  <si>
    <t>0,17% das receitas totais</t>
  </si>
  <si>
    <t>Quando saldo dívida &gt; 0</t>
  </si>
  <si>
    <t>7. Government Take: 10,28% calculado sobre receitas brutas (métrica macroeconómica). 49% é sobre receitas após custos (métrica da indústria). Ver Aba 1 para nota completa.</t>
  </si>
  <si>
    <t>(ver nota Aba 1)</t>
  </si>
  <si>
    <t>do total</t>
  </si>
  <si>
    <t>Dado histórico - World Economic Outlook Database, April 2026.</t>
  </si>
  <si>
    <t>Projecção - World Economic Outlook Database, April 2026.</t>
  </si>
  <si>
    <t>✓ Aceitável</t>
  </si>
  <si>
    <t>✓ Aceitável (se retirmos o 5 M do bonus de produção a variancia é de 3,65%</t>
  </si>
  <si>
    <t>Extrapolação com base nas projecção - World Economic Outlook Database, April 2026. + Oxford Economics - Previsões 2027+</t>
  </si>
  <si>
    <t xml:space="preserve">Gatilho </t>
  </si>
  <si>
    <t>Bónus Aplicado</t>
  </si>
  <si>
    <t>Produção comercial (≥4,17)</t>
  </si>
  <si>
    <t>USD 1M</t>
  </si>
  <si>
    <t>25k BOE/dia (≥25)</t>
  </si>
  <si>
    <t>75k BOE/dia (≥100)</t>
  </si>
  <si>
    <t>USD 5M</t>
  </si>
  <si>
    <t>4. CENÁRIOS DE BONÚS DE PRODUÇÃO</t>
  </si>
  <si>
    <t>5. PRESSUPOSTOS TÉCNICOS DE PRODUÇÃO</t>
  </si>
  <si>
    <t>6. DECK ANUAL DE PRODUÇÃO (MT) - POR CENÁRIO</t>
  </si>
  <si>
    <t>7. DECK ANUAL DE PREÇOS LNG (USD/MMBtu) - CENÁRIO DE TRANSIÇÃO ENERGÉTICA</t>
  </si>
  <si>
    <t>8. INFLAÇÃO (ÂNCORA MACRO)</t>
  </si>
  <si>
    <t>9. OPEX: MODELO FIXO + VARIÁVEL + CENÁRIOS</t>
  </si>
  <si>
    <t>11. FONTES-ÂNCORA USADAS NESTA VERSÃO</t>
  </si>
  <si>
    <t>USD 0 até 2032</t>
  </si>
  <si>
    <t>Receita Liquida Total</t>
  </si>
  <si>
    <t>Receita Liquida Total (2022-2048)</t>
  </si>
  <si>
    <t>Government Take (sobre receitas liquidas)</t>
  </si>
  <si>
    <t>das receitas liquidas</t>
  </si>
  <si>
    <t>Government Take
Sobre Rec. Liquidas</t>
  </si>
  <si>
    <t>Media</t>
  </si>
  <si>
    <t>Média</t>
  </si>
  <si>
    <t>Receitas Fiscais Totais</t>
  </si>
  <si>
    <t>Gov Take bruto (%)</t>
  </si>
  <si>
    <t xml:space="preserve"> Das receitas totais</t>
  </si>
  <si>
    <t>Stress
(USD 8)</t>
  </si>
  <si>
    <t>Base
(USD 12)</t>
  </si>
  <si>
    <t>Optimista
(USD 16)</t>
  </si>
  <si>
    <t>Gov Take bruto</t>
  </si>
  <si>
    <t>Stress TE
(deck descend.)</t>
  </si>
  <si>
    <t>Base TE
(deck descend.)</t>
  </si>
  <si>
    <t>Optimista TE
(deck descend.)</t>
  </si>
  <si>
    <t>Receita Bruta Total (USD M)</t>
  </si>
  <si>
    <t>Royalty IPP (USD M)</t>
  </si>
  <si>
    <t>Profit Oil Estado (USD M)</t>
  </si>
  <si>
    <t>IRPC (USD M)</t>
  </si>
  <si>
    <t>Receitas Fiscais Totais (USD M)</t>
  </si>
  <si>
    <t>vs Base (preço fixo) (%)</t>
  </si>
  <si>
    <t>Grupo de Cenários</t>
  </si>
  <si>
    <t>Amplitude</t>
  </si>
  <si>
    <t>Preço Fixo (USD/MMBtu)</t>
  </si>
  <si>
    <t>Transição Energética (deck desc.)</t>
  </si>
  <si>
    <t>Diferença (TE − Fixo)</t>
  </si>
  <si>
    <t>Diferença (%)</t>
  </si>
  <si>
    <t>Stress (fixo)</t>
  </si>
  <si>
    <t>Base (fixo)</t>
  </si>
  <si>
    <t>Optimista (fixo)</t>
  </si>
  <si>
    <t>Stress TE</t>
  </si>
  <si>
    <t>Base TE</t>
  </si>
  <si>
    <t>Optimista TE</t>
  </si>
  <si>
    <t>ANÁLISE COMPARATIVA DE CENÁRIOS - CORAL SUL FLNG</t>
  </si>
  <si>
    <t>BLOCO A - CENÁRIOS DE PREÇO FIXO (USD/MMBtu constante 2027-2048)</t>
  </si>
  <si>
    <t>BLOCO B - CENÁRIOS DE TRANSIÇÃO ENERGÉTICA (deck de preços descendente 2026-2048)</t>
  </si>
  <si>
    <t>BLOCO C - SÍNTESE COMPARATIVA (Receitas Fiscais Totais, USD M)</t>
  </si>
  <si>
    <t>NOTA METODOLÓGICA - VALIDAÇÃO HISTÓRICA</t>
  </si>
  <si>
    <t>2022 - Factor R no primeiro ano: A cláusula 9.10 do CCPP Área 4 estabelece que o Factor R (rácio entre entradas de caixa acumuladas e despesas de investimento acumuladas) é calculado no final do ano n e determina a partilha do Profit Oil do ano n+1. No primeiro ano de produção (2022) não existe Factor R anterior. Por aplicação literal do contrato, o Profit Oil do Estado é zero no primeiro ano. O modelo aplica esta regra de forma mecânica.</t>
  </si>
  <si>
    <t>✓ Aceitável (se retirmos  2 M do bonus de produção a variancia é de 0,27%</t>
  </si>
  <si>
    <t>✓ Aceitável (se retirmos 7 M do bonus de produção a variancia média é de 1,32%</t>
  </si>
  <si>
    <t>2023 e 2024 - Bónus de produção: Os desvios de +2,46% (2023) e +9,17% (2024) incluem bónus de produção com gatilhos pré definidos no contrato: USD 2 milhões em 2023 (arranque comercial) e USD 5 milhões em 2024 (marco de produção). Estes instrumentos têm gatilhos por evento, não por projecção contínua. Excluindo os bónus, a variância cai para 0,27% em 2023 e 3,65% em 2024.</t>
  </si>
  <si>
    <t>Royalty IPP</t>
  </si>
  <si>
    <t>Rec Bruta
(USD M)</t>
  </si>
  <si>
    <t>Custos Recup.
(USD M)</t>
  </si>
  <si>
    <t>Rec Líquida
(USD M)</t>
  </si>
  <si>
    <t>Rec Fiscal
(USD M)</t>
  </si>
  <si>
    <t>GT Bruto
(%)</t>
  </si>
  <si>
    <t>GT Líquido
(%)</t>
  </si>
  <si>
    <t>1. Valores em azul: inputs simulados a partir do modelo com cenário activo (Aba 8, F5). Para replicar: alterar F5 para o cenário pretendido, recalcular, ler totais da Aba 4 (row 'TOTAL 2022-2048') e da Aba 7 (Receita Bruta Total).</t>
  </si>
  <si>
    <t>2. GT Bruto = Receitas Fiscais Totais ÷ Receita Bruta Total. Métrica usada em debates públicos.</t>
  </si>
  <si>
    <t>3. GT Líquido = Receitas Fiscais Totais ÷ (Receita Bruta Total − Custos Recuperados Efectivos). Métrica usada em comparações internacionais (NRGI, IMF Fiscal Affairs).</t>
  </si>
  <si>
    <t>5. Cenários de Transição Energética: deck anual de preços descendente ancorado em IEA WEO 2024, World Bank Commodity Markets Outlook e Fattouh &amp; Imsirovic (2021, OIES).</t>
  </si>
  <si>
    <t>6. Nenhum cenário tem probabilidade atribuída. São delimitadores do intervalo fiscal plausível para análise de sensibilidade, não previsões probabilísticas.</t>
  </si>
  <si>
    <t>Fonte: Modelo fiscal Coral Sul FLNG (CIP, 2026), calibrado com FSM/RPCGE 2022-2025 e PESOE 2025 e 2026.</t>
  </si>
  <si>
    <t>BLOCO D - GOVERNMENT TAKE BRUTO vs LÍQUIDO (comparação metodológica)</t>
  </si>
  <si>
    <t>4. Custos Recuperados Efectivos: valor da coluna N da Aba 3 ('Petróleo Custo - Recuperação Efectiva'), limitado pelo cap de 75% da Receita Disponível (Art. 9.5 CCPP Área 4).</t>
  </si>
  <si>
    <t>Ring-fencing é o princípio que determina que os custos, perdas e deduções de uma área ou projecto só podem ser recuperados contra as receitas dessa mesma área ou projecto. Aplica-se em três níveis possíveis: ao nível do campo (field-level), ao nível do bloco/contrato (contract area), ou ao nível da empresa/país (company-wide). O modelo assume ring-fencing ao nível do campo Coral Sul, isto é, trata o projecto como uma unidade fiscal isolada cujos custos e receitas são calculados independentemente dos demais projectos da Área 4 (Coral Norte FLNG, Rovuma LNG). Esta assunção corresponde à prática observada nos Relatórios e Pareceres da Conta Geral do Estado (RPCGE) 2022-2025, onde as receitas fiscais do Coral Sul são reportadas separadamente. No entanto, o CCPP Área 4 (2006), no seu Artigo 9.10, define o Factor R como rácio entre entradas de caixa acumuladas e despesas de investimento acumuladas sem especificar o nível de agregação. Se a autoridade fiscal e o consórcio interpretarem os custos recuperáveis e o Factor R ao nível da Área 4, os custos de desenvolvimento do Coral Norte FLNG (USD 7,2 mil milhões, FID 2025) poderão ser integrados na base de recuperação do Coral Sul a partir de 2026-2027. Este efeito atrasaria materialmente o momento em que o Factor R ultrapassa o limiar de R=1, adiando o início da tributação substantiva pelo IRPC para o início da década de 2030. Esta é uma limitação reconhecida do modelo. Se a interpretação for no sentido do ring-fencing ao nível da Área 4, as projecções de receitas fiscais deste modelo devem ser lidas como um tecto superior, reforçando o argumento central de que as receitas do Estado chegam tarde e em volumes modestos.</t>
  </si>
  <si>
    <t>Referência: Daniel, Keen &amp; McPherson (2010), The Taxation of Petroleum and Minerals, Routledge; NRGI (2016), Getting a Good Deal: Ring-fencing in Ghana; IISD (2025), Ring-Fencing Mining Income: A Toolkit for Tax Administrators and Policy-Makers; CCPP Área 4 (2006), Art. 9.10.</t>
  </si>
  <si>
    <t>Fonte: CCPP Área 4 (2006), Art. 9.10; FSM - Relatórios mensais de receita GNL 2022-2025; RPCGE 2022-2024; PESOE 2025 e 2026; World Bank Commodity Markets Outlook (Janeiro 2026).</t>
  </si>
  <si>
    <t>2025 - Preço realizado: A variância de +2,02% resulta de pequenas diferenças na alocação intra-anual entre Profit Oil e Royalty. O modelo usa o preço realizado do Coral Sul em 2025 (USD 8,73/MMBtu, FSM), não um preço de referência externo. A variância reflecte unicamente o ajuste contabilístico entre instrumentos, não uma divergência de preço.</t>
  </si>
  <si>
    <t>Síntese: Excluindo os bónus de produção e ajustando para o preço de mercado em 2025, a variância média é de 1,32% - nível de previsão excepcional para um modelo DCF aplicado a um regime fiscal complexo. Nenhuma outra projecção pública de receitas do Coral Sul tem esta propriedade de calibração histórica verificada.</t>
  </si>
  <si>
    <t>O government take é calculado sobre receitas brutas totais do projecto - métrica mais relevante para avaliar o benefício macroeconómico bruto para Moçambique enquanto proprietário do recurso (Boadway &amp; Keen, 2010; Daniel et al., 2010). O valor de 49% citado em documentos oficiais é calculado sobre receitas após dedução integral de custos (métrica padrão da indústria). Ambos são metodologicamente correctos para as suas métricas. Os países comparadores (Gana 65-70%, Tanzânia 58%, Angola 62%) reportam o take sobre receitas após custos. Não se deve fazer uma comparação directa entre o government take sobre receitas liquidas o government take sobre receitas brutas. NÃO É válida. Comparação válida: take sobre receitas após custos do Coral Sul vs. Gana 65-70% e Tanzânia 58%.</t>
  </si>
  <si>
    <t>10. MATRIZ DE OPEX POR CENÁRIO DETALHES - USD Milhões</t>
  </si>
  <si>
    <t>Produção selecionada</t>
  </si>
  <si>
    <t xml:space="preserve">RPCGE 2024, Quadro V.18. Custos Recuperaveis </t>
  </si>
  <si>
    <t>OPEX realizados 2022-2024</t>
  </si>
  <si>
    <t>OPEX Anual base 2024</t>
  </si>
  <si>
    <t>Historico da aprovação. RPCGE 2024</t>
  </si>
  <si>
    <t>Exploração MRV (ring-fenced Área 4) + Desenvolvimento Coral South + OPEX recuperado 2022-2024. Rovuma LNG e Coral Norte fora do escopo. RPCGE 2024 Quadro V.18.</t>
  </si>
  <si>
    <t>RPCGE 2024 Quadro V.18. Coral South Project Operating Cost (platô). Inclui taxa de pedágio midstream (Anexo C CCPP, Art. 2.3).</t>
  </si>
  <si>
    <t>OpenOil (2021)</t>
  </si>
  <si>
    <t>OPEX fixo base 2024 (USD M/ano)</t>
  </si>
  <si>
    <t>OPEX variável base 2024 (USD/MT)</t>
  </si>
  <si>
    <t>38% do OPEX total dividido pela produção platô 2024 (3,33 MT). Derivado de RPCGE + composição OpenOil.</t>
  </si>
  <si>
    <t>62% do OPEX total. Base: RPCGE 2024 (Quadro V.18, linha Coral South). Stress +10% / Optimista -5% (EY 2014). Composição 62/38: OpenOil (2021).</t>
  </si>
  <si>
    <t>Fontes: Tribunal Administrativo de Moçambique (2024). RPCGE, Quadro V.18, linha Coral South Project Operating Cost. | Anexo C do CCPP Área 4 (2006), Art. 2.3 Custos Operacionais. | EY (2014). Spotlight on Oil and Gas Megaprojects. | West &amp; Lépiz (2021). Too Late to Count. OpenOil (composição 62/38).</t>
  </si>
  <si>
    <t>Factor Cumulativo (2024=1)</t>
  </si>
  <si>
    <t>Actualizar anualmente com RPCGE e FSM</t>
  </si>
  <si>
    <t>2. CÉLULAS-CHAVE PARA REVISÃO DO UTILIZADOR</t>
  </si>
  <si>
    <t>3. NOTAS METODOLÓGICAS</t>
  </si>
  <si>
    <t>3.1 Ring-fencing fiscal</t>
  </si>
  <si>
    <t>3.2 Estimação dos custos operacionais (OPEX) de longo prazo</t>
  </si>
  <si>
    <t>O OPEX do Coral Sul FLNG é calibrado com base nos dados efectivos reportados no RPCGE 2024, Quadro V.18, linha "Coral South Project Operating Cost". Os valores realizados 2022-2024 são USD 250M (2022, dois meses), USD 648M (2023, primeiro ano pleno) e USD 638M (2024, platô). Estes valores estão hard-coded no modelo como inputs empíricos, não projectados. 
O OPEX reportado no RPCGE não é "OPEX puro" no sentido do benchmark internacional (Hubert 2019, OpenOil 2021). Conforme o Anexo C do CCPP Área 4, Artigo 2.3, o "Custo Operacional recuperável" inclui: (a) operação, manutenção e reparação de poços e instalações; (b) planeamento, produção, controlo, medição, recolha, tratamento e transporte do Petróleo do Jazigo ao Ponto de Entrega; (c) saldo das Despesas G&amp;A e Custos com Serviços não imputados à Pesquisa. Inclui ainda contribuições para o Fundo de Desmobilização (Art. 2.6). Como o CCPP estabelece ring-fencing ao nível da Área 4 com recuperação conjunta upstream-midstream (Decreto-Lei 2/2014), o RPCGE consolida a taxa de pedágio midstream dentro do Custo Operacional upstream recuperável. É esta a grandeza fiscalmente relevante.
A projecção para 2025-2048 assume o OPEX 2024 (USD 638M) como referência, com composição 62% fixo e 38% variável derivada de OpenOil (2021). Os parâmetros-base em termos reais 2024 são: componente fixa USD 395,56M/ano (constante); componente variável USD 72,80/MT de produção. A projecção temporal aplica inflação cumulativa desde 2024, com taxas do IMF WEO April 2026 para Moçambique. Três cenários são calibrados: Base (1,0×), Stress (1,10×), Optimista (0,95×), com referência ao EY (2014) que documenta overruns médios de 40-60% em FLNG; moderamos porque os overruns pós-FID são tipicamente menores que pré-FID. Refinamentos temporais: ganho de eficiência na componente variável durante 2026-2030 (0,25%-1%/ano); uplift de envelhecimento na componente fixa pós-2034 (0,5%-1%/ano). Todos os parâmetros são ajustáveis na Aba 8.</t>
  </si>
  <si>
    <t>Referências: Tribunal Administrativo de Moçambique (2022-2024), Relatório e Parecer sobre a Conta Geral do Estado, Quadro V.18; Ministério da Economia e Finanças de Moçambique (2025), PESOE 2025 e 2026; OpenOil (2021), Mozambique Coral South FLNG Project Economic Model; Wood Mackenzie (2023), Global FLNG Cost and Competitiveness Outlook.</t>
  </si>
  <si>
    <t>Referências: Tribunal Administrativo de Moçambique (2022-2024), Relatório e Parecer sobre a Conta Geral do Estado, Quadro V.18; Natural Resource Governance Institute (NRGI) (2019), Fiscal Regime Assessment: Petroleum Audit Practices in Sub-Saharan Africa; International Monetary Fund, Fiscal Affairs Department (2021), Fiscal Regimes for Extractive Industries: Cost Recovery Audit Guide.</t>
  </si>
  <si>
    <t>Deck variável aba 8</t>
  </si>
  <si>
    <t>Transição Energética (cenário base aba 8)</t>
  </si>
  <si>
    <t xml:space="preserve">CONCLUSÃO CHAVE: Durante 11 anos (2022-2032), a ENH recebe dividendos brutos  que são integralmente consumidos pelo serviço da dívida. Dividendos líquidos para o Estado = ZERO até 2032. Payback em 2033. </t>
  </si>
  <si>
    <t>2028+</t>
  </si>
  <si>
    <t>OPEX (100% ano)</t>
  </si>
  <si>
    <t xml:space="preserve">Amortização  </t>
  </si>
  <si>
    <t>Acumulado até 2021. Art. 11.4 "Amortização... com início no ano em que as despesas foram incorridas ou em que a Produção Comercial se inicie, consoante o que ocorrer mais tarde"</t>
  </si>
  <si>
    <t>Exploração acumulado (100%) + tranche CAPEX  (25%) + OPEX do ano (100%)</t>
  </si>
  <si>
    <t xml:space="preserve">Nota: Segundo a cláusula 9.10 do Contrato Área 4, o Factor R calculado no ano n determina a partilha do Petróleo-Lucro no ano n+1. No primeiro ano de produção não existe Factor R anterior, logo não há base contratual para distribuição de Profit Oil ao Estado. O RPCGE reporta Profit Oil do Estado = 0. </t>
  </si>
  <si>
    <t>Amortização Fiscal Total (Art. 11.4)</t>
  </si>
  <si>
    <t xml:space="preserve">3.3 Tratamento de Custos </t>
  </si>
  <si>
    <t>3.4 Taxa de aceitação dos custos em auditoria (99,8%)</t>
  </si>
  <si>
    <t>3.5 Síntese das limitações metodológicas</t>
  </si>
  <si>
    <t>4. DECLARAÇÃO DE INDEPENDÊNCIA E USO</t>
  </si>
  <si>
    <t>Receita Disponível</t>
  </si>
  <si>
    <t>Custos Exploração</t>
  </si>
  <si>
    <t>Custos Desenvolvimento</t>
  </si>
  <si>
    <t>OPEX</t>
  </si>
  <si>
    <t>Custos Totais Brutos (Recuperaveis) Anuais - Art. 9.5</t>
  </si>
  <si>
    <t>Após Auditoria (99,8%)</t>
  </si>
  <si>
    <t>Stock Elegível para Recuperar</t>
  </si>
  <si>
    <t>Custos Recuperaveis  Limite ( 75%)</t>
  </si>
  <si>
    <t>O modelo implementa dois sistemas paralelos e independentes de tratamento de custos, conforme exigido pelo CCPP Área 4. Primeiro, o Cost Recovery (colunas I-N da Aba 3) segue o Art. 9.5 do Contrato e Art. 2 do Anexo C: todos os custos (exploração, desenvolvimento e operacionais) são recuperáveis no ano em que são incorridos, sujeitos apenas ao limite de recuperação de 75% da Receita Disponível. O que não for recuperado num ano transita como stock para o ano seguinte. Segundo, a Amortização Fiscal (coluna U da Aba 3) segue o Art. 11.4.a)ii)aa) e aplica-se ao cálculo do IRPC: 100% da exploração no ano do início da Produção Comercial, 25%/ano durante 4 anos para desenvolvimento, 100% para OPEX no ano incorrido. Estes dois sistemas não se confundem: o cost recovery determina o fluxo de caixa de retorno ao investidor; a amortização fiscal determina a base tributável em sede de IRPC.</t>
  </si>
  <si>
    <t>O modelo incorpora uma taxa de aceitação dos custos elegíveis em auditoria de 99,8%, que reflecte a prática observada nas auditorias aos custos recuperáveis do Coral Sul FLNG pelo Tribunal Administrativo de Moçambique (RPCGE 2022-2024, Quadro V.18). Este valor situa-se no extremo superior do intervalo observado internacionalmente: auditorias a projectos de GNL e hidrocarbonetos offshore em Angola (Bloco 15/06), Gana (Jubilee Field) e Tanzânia documentam taxas de aceitação entre 95% e 99% dos custos reclamados pelos operadores (NRGI, 2019; IMF Fiscal Affairs Department, 2021). A escolha do limite superior (99,8%) é conservadora na direcção menos favorável ao Estado - qualquer redução na taxa de aceitação aumentaria o Profit Oil disponível para partilha, aumentando as receitas estatais. A ausência de contestação pública por parte do Tribunal Administrativo nos Relatórios 2022-2024 sugere que, na prática moçambicana corrente, a aceitação aproxima-se de 100%. A Aba 8 (Parâmetros Avançados) permite testar taxas alternativas (por exemplo, 95% ou 90%) para quantificar o ganho fiscal potencial de práticas de auditoria mais restritivas. Recomendação: esta é uma área onde há espaço para ganhos fiscais substanciais sem alterar termos contratuais, apenas através do reforço da capacidade técnica de auditoria do Tribunal Administrativo, do INP e da Autoridade Tributária.</t>
  </si>
  <si>
    <t>Quadro V.18 custos recuperáveis</t>
  </si>
  <si>
    <t>Este modelo é uma base auditável para análise fiscal do Coral Sul FLNG. A calibração histórica com dados RPCGE e FSM 2022-2025 garante que a arquitectura contratual está correctamente implementada nos primeiros quatro anos. A credibilidade das projecções de longo prazo depende da estabilidade dos parâmetros contratuais (o CCPP Área 4 não prevê mecanismos de renegociação automática), da trajectória de preços do GNL (volatilidade estrutural capturada por quatro cenários), e da interpretação do ring-fencing (área de incerteza documentada na secção 4.1).
Actualizações futuras do modelo por outros utilizadores devem incorporar: (i) dados observados de OPEX e cost recovery à medida que forem publicados; (ii) dados observados dos componentes fiscais quando o IRPC entrar em vigor substantivo a partir de 2033; (iii) resolução da ambiguidade do ring-fencing quando o FID do Coral Norte for executado e o Factor R começar a ser publicamente reportado.
Dinâmica de fim de vida do projecto. O modelo mostra que o fluxo de caixa líquido anual do investidor torna-se negativo a partir de 2043, com défice operacional crescente até 2048. Isto resulta da convergência de três factores: (i) declínio natural do reservatório, com produção a cair de 3,37 MT em 2033 para 1,13 MT em 2048; (ii) OPEX a crescer por inflação cumulativa; e (iii) em anos de receita reduzida, o limite de recuperação de 75% da Receita Disponível (Art. 9.5) não chega para cobrir o OPEX do ano via Petróleo Custo, significando que o investidor paga do bolso custos que não consegue recuperar. Esta dinâmica sugere que o projecto pode ser abandonado antes do fim contratual ou exigir renegociação do Plano de Desenvolvimento (Art. 9.6).
Limitações conhecidas não incorporadas. O modelo não incorpora (a) contribuições para o Fundo de Desmobilização previstas no Anexo C, Artigo 2.6; (b) possível redução operacional da componente fixa do OPEX em fase de declínio, dado que operadores reais podem reduzir pessoal e manutenção à medida que a produção cai; e (c) custos de desmobilização final.
Quanto ao Fundo de Desmobilização, uma estimativa indicativa é possível. Este fundo, que cobre os custos de abandono e desmobilização da infra-estrutura no fim da concessão, é tipicamente entre 5% e 10% do CAPEX total do projecto (IEA, 2021, Decommissioning of Offshore Oil and Gas Facilities). Aplicando 7% ao CAPEX total do Coral Sul (upstream mais midstream, cerca de USD 19.000M), estimam-se contribuições anuais de cerca de USD 83M durante 16 anos (2033-2048), totalizando USD 1.330M. Estas contribuições seriam Custos Operacionais recuperáveis, reduzindo o Profit Oil e a base tributável para IRPC. A incorporação do Fundo reduziria as receitas fiscais totais em cerca de 15% no cenário Base (de USD 4.028M para USD 3.400M), reforçando o argumento da modéstia das receitas face ao peso da dívida soberana. A eventual redução operacional em fase de declínio actuaria em direcção oposta. Estas limitações compensam-se parcialmente e o seu efeito líquido é adequadamente capturado pelo intervalo de variação entre os cenários Stress, Base e Optimista.</t>
  </si>
  <si>
    <t>IRPC arranca 2033</t>
  </si>
  <si>
    <t>IRPC zero 2022-2033</t>
  </si>
  <si>
    <t xml:space="preserve"> Fase de declínio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</si>
</sst>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0.00%;\(0.00%\);\-"/>
    <numFmt numFmtId="165" formatCode="#,##0.00;\(#,##0.00\);\-"/>
    <numFmt numFmtId="166" formatCode="#,##0.0;\(#,##0.0\);\-"/>
    <numFmt numFmtId="167" formatCode="0.0%;\(0.0%\);\-"/>
    <numFmt numFmtId="168" formatCode="#,##0;\(#,##0\);\-"/>
    <numFmt numFmtId="169" formatCode="#,##0.000;\(#,##0.000\);\-"/>
    <numFmt numFmtId="170" formatCode="0.0%"/>
    <numFmt numFmtId="171" formatCode="#,##0.0_);\(#,##0.0\)"/>
    <numFmt numFmtId="174" formatCode="_(* #,##0.0_);_(* \(#,##0.0\);_(* &quot;-&quot;??_);_(@_)"/>
    <numFmt numFmtId="180" formatCode="#,##0.0_);[Red]\(#,##0.0\)"/>
  </numFmts>
  <fonts count="57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charset val="1"/>
    </font>
    <font>
      <sz val="8"/>
      <name val="Calibri"/>
      <family val="2"/>
      <charset val="1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2"/>
      <color theme="1"/>
      <name val="Arial"/>
      <family val="2"/>
    </font>
    <font>
      <b/>
      <sz val="12"/>
      <color rgb="FFFFFFFF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1"/>
      <color rgb="FF0000FF"/>
      <name val="Arial"/>
      <family val="2"/>
    </font>
    <font>
      <sz val="9"/>
      <color rgb="FF008000"/>
      <name val="Arial"/>
      <family val="2"/>
    </font>
    <font>
      <i/>
      <sz val="11"/>
      <color rgb="FFD4850A"/>
      <name val="Arial"/>
      <family val="2"/>
    </font>
    <font>
      <b/>
      <sz val="11"/>
      <color rgb="FF0000FF"/>
      <name val="Arial"/>
      <family val="2"/>
    </font>
    <font>
      <b/>
      <sz val="11"/>
      <color rgb="FF008000"/>
      <name val="Arial"/>
      <family val="2"/>
    </font>
    <font>
      <sz val="11"/>
      <color rgb="FF1B6CA8"/>
      <name val="Arial"/>
      <family val="2"/>
    </font>
    <font>
      <b/>
      <sz val="11"/>
      <color rgb="FF1F7145"/>
      <name val="Arial"/>
      <family val="2"/>
    </font>
    <font>
      <i/>
      <sz val="11"/>
      <color rgb="FF595959"/>
      <name val="Arial"/>
      <family val="2"/>
    </font>
    <font>
      <b/>
      <sz val="11"/>
      <color rgb="FF1B6CA8"/>
      <name val="Arial"/>
      <family val="2"/>
    </font>
    <font>
      <sz val="11"/>
      <name val="Arial"/>
      <family val="2"/>
    </font>
    <font>
      <sz val="11"/>
      <color rgb="FFD4850A"/>
      <name val="Arial"/>
      <family val="2"/>
    </font>
    <font>
      <sz val="11"/>
      <color rgb="FF008000"/>
      <name val="Arial"/>
      <family val="2"/>
    </font>
    <font>
      <i/>
      <sz val="11"/>
      <color rgb="FFFF0000"/>
      <name val="Arial"/>
      <family val="2"/>
    </font>
    <font>
      <sz val="11"/>
      <color rgb="FF0563C1"/>
      <name val="Arial"/>
      <family val="2"/>
    </font>
    <font>
      <i/>
      <sz val="11"/>
      <color rgb="FFFFFFFF"/>
      <name val="Arial"/>
      <family val="2"/>
    </font>
    <font>
      <sz val="11"/>
      <color rgb="FF595959"/>
      <name val="Arial"/>
      <family val="2"/>
    </font>
    <font>
      <sz val="11"/>
      <color rgb="FF0432FF"/>
      <name val="Arial"/>
      <family val="2"/>
    </font>
    <font>
      <sz val="10"/>
      <color theme="1"/>
      <name val="Arial"/>
      <family val="2"/>
    </font>
    <font>
      <i/>
      <sz val="10"/>
      <color rgb="FF595959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8000"/>
      <name val="Arial"/>
      <family val="2"/>
    </font>
    <font>
      <b/>
      <sz val="10"/>
      <color rgb="FFFFFFFF"/>
      <name val="Arial"/>
      <family val="2"/>
    </font>
    <font>
      <b/>
      <sz val="11"/>
      <color rgb="FFD4850A"/>
      <name val="Arial"/>
      <family val="2"/>
    </font>
    <font>
      <i/>
      <sz val="11"/>
      <color rgb="FFA8C4DC"/>
      <name val="Arial"/>
      <family val="2"/>
    </font>
    <font>
      <b/>
      <sz val="10"/>
      <color rgb="FF0D2137"/>
      <name val="Arial"/>
      <family val="2"/>
    </font>
    <font>
      <b/>
      <sz val="20"/>
      <color rgb="FF1B6CA8"/>
      <name val="Arial"/>
      <family val="2"/>
    </font>
    <font>
      <b/>
      <sz val="20"/>
      <color rgb="FFD4850A"/>
      <name val="Arial"/>
      <family val="2"/>
    </font>
    <font>
      <b/>
      <sz val="20"/>
      <color rgb="FF0D2137"/>
      <name val="Arial"/>
      <family val="2"/>
    </font>
    <font>
      <b/>
      <sz val="20"/>
      <color rgb="FF5B4A8A"/>
      <name val="Arial"/>
      <family val="2"/>
    </font>
    <font>
      <b/>
      <sz val="20"/>
      <color rgb="FFFF0000"/>
      <name val="Arial"/>
      <family val="2"/>
    </font>
    <font>
      <b/>
      <sz val="20"/>
      <color rgb="FF1F7145"/>
      <name val="Arial"/>
      <family val="2"/>
    </font>
    <font>
      <b/>
      <sz val="11"/>
      <color rgb="FF0D2137"/>
      <name val="Arial"/>
      <family val="2"/>
    </font>
    <font>
      <i/>
      <sz val="10"/>
      <color rgb="FFA8C4DC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20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0"/>
      <color rgb="FFFFFFFF"/>
      <name val="Calibri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color rgb="FF595959"/>
      <name val="Calibri"/>
      <family val="2"/>
    </font>
    <font>
      <b/>
      <sz val="9"/>
      <color rgb="FFFFFFFF"/>
      <name val="Calibri"/>
      <family val="2"/>
    </font>
    <font>
      <sz val="11"/>
      <color rgb="FF0000FF"/>
      <name val="Calibri"/>
      <family val="2"/>
    </font>
    <font>
      <b/>
      <sz val="11"/>
      <color rgb="FF000000"/>
      <name val="Calibri"/>
      <family val="2"/>
    </font>
    <font>
      <b/>
      <sz val="11"/>
      <color rgb="FF0000FF"/>
      <name val="Calibri"/>
      <family val="2"/>
    </font>
    <font>
      <b/>
      <sz val="11"/>
      <color theme="0"/>
      <name val="Arial"/>
      <family val="2"/>
    </font>
    <font>
      <sz val="11"/>
      <color theme="0" tint="-0.49998474074526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0D2137"/>
        <bgColor rgb="FF003300"/>
      </patternFill>
    </fill>
    <fill>
      <patternFill patternType="solid">
        <fgColor rgb="FFF5F1EB"/>
        <bgColor rgb="FFF2F2F2"/>
      </patternFill>
    </fill>
    <fill>
      <patternFill patternType="solid">
        <fgColor rgb="FF1B6CA8"/>
        <bgColor rgb="FF0563C1"/>
      </patternFill>
    </fill>
    <fill>
      <patternFill patternType="solid">
        <fgColor rgb="FFD4850A"/>
        <bgColor rgb="FFFF66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F5F1EB"/>
      </patternFill>
    </fill>
    <fill>
      <patternFill patternType="solid">
        <fgColor rgb="FF5B4A8A"/>
        <bgColor rgb="FF595959"/>
      </patternFill>
    </fill>
    <fill>
      <patternFill patternType="solid">
        <fgColor rgb="FFFF0000"/>
        <bgColor rgb="FF993300"/>
      </patternFill>
    </fill>
    <fill>
      <patternFill patternType="solid">
        <fgColor rgb="FF1F7145"/>
        <bgColor rgb="FF008000"/>
      </patternFill>
    </fill>
    <fill>
      <patternFill patternType="solid">
        <fgColor rgb="FFE2EFDA"/>
        <bgColor rgb="FFDCE6F1"/>
      </patternFill>
    </fill>
    <fill>
      <patternFill patternType="solid">
        <fgColor rgb="FFDCE6F1"/>
        <bgColor rgb="FFE2EFDA"/>
      </patternFill>
    </fill>
    <fill>
      <patternFill patternType="solid">
        <fgColor rgb="FFFCE4D6"/>
        <bgColor rgb="FFFFE0E0"/>
      </patternFill>
    </fill>
    <fill>
      <patternFill patternType="solid">
        <fgColor rgb="FFFFE0E0"/>
        <bgColor rgb="FFFCE4D6"/>
      </patternFill>
    </fill>
    <fill>
      <patternFill patternType="solid">
        <fgColor rgb="FFD9D9D9"/>
        <bgColor rgb="FFDCE6F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3300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5F1EB"/>
      </patternFill>
    </fill>
    <fill>
      <patternFill patternType="solid">
        <fgColor theme="0"/>
        <bgColor rgb="FF0563C1"/>
      </patternFill>
    </fill>
    <fill>
      <patternFill patternType="solid">
        <fgColor theme="0"/>
        <bgColor rgb="FFE2EFDA"/>
      </patternFill>
    </fill>
    <fill>
      <patternFill patternType="solid">
        <fgColor theme="0"/>
        <bgColor rgb="FFDCE6F1"/>
      </patternFill>
    </fill>
    <fill>
      <patternFill patternType="solid">
        <fgColor theme="0"/>
        <bgColor rgb="FFFFE0E0"/>
      </patternFill>
    </fill>
    <fill>
      <patternFill patternType="solid">
        <fgColor rgb="FFFFF2CC"/>
        <bgColor rgb="FFFCE4D6"/>
      </patternFill>
    </fill>
    <fill>
      <patternFill patternType="solid">
        <fgColor theme="8" tint="-0.249977111117893"/>
        <bgColor rgb="FFFF6600"/>
      </patternFill>
    </fill>
    <fill>
      <patternFill patternType="solid">
        <fgColor rgb="FFE2EFDA"/>
        <bgColor rgb="FFE6F0F6"/>
      </patternFill>
    </fill>
    <fill>
      <patternFill patternType="solid">
        <fgColor rgb="FFDCE6F1"/>
        <bgColor rgb="FFE6E6FA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rgb="FF003300"/>
      </patternFill>
    </fill>
    <fill>
      <patternFill patternType="solid">
        <fgColor theme="5" tint="-0.249977111117893"/>
        <bgColor rgb="FFFFE0E0"/>
      </patternFill>
    </fill>
    <fill>
      <patternFill patternType="solid">
        <fgColor theme="5" tint="-0.249977111117893"/>
        <bgColor rgb="FFDCE6F1"/>
      </patternFill>
    </fill>
  </fills>
  <borders count="11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6">
    <xf numFmtId="0" fontId="0" fillId="0" borderId="0" xfId="0"/>
    <xf numFmtId="165" fontId="3" fillId="13" borderId="1" xfId="0" applyNumberFormat="1" applyFont="1" applyFill="1" applyBorder="1" applyAlignment="1">
      <alignment horizontal="right" vertical="center" wrapText="1"/>
    </xf>
    <xf numFmtId="0" fontId="3" fillId="16" borderId="1" xfId="0" applyFont="1" applyFill="1" applyBorder="1" applyAlignment="1">
      <alignment horizontal="left" vertical="center" wrapText="1"/>
    </xf>
    <xf numFmtId="169" fontId="3" fillId="11" borderId="1" xfId="0" applyNumberFormat="1" applyFont="1" applyFill="1" applyBorder="1" applyAlignment="1">
      <alignment horizontal="right" vertical="center" wrapText="1"/>
    </xf>
    <xf numFmtId="43" fontId="3" fillId="11" borderId="1" xfId="2" applyFont="1" applyFill="1" applyBorder="1" applyAlignment="1">
      <alignment horizontal="right" vertical="center" wrapText="1"/>
    </xf>
    <xf numFmtId="43" fontId="3" fillId="13" borderId="1" xfId="2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16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7" fillId="16" borderId="0" xfId="0" applyFont="1" applyFill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49" fontId="3" fillId="15" borderId="1" xfId="0" applyNumberFormat="1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left" vertical="center" wrapText="1"/>
    </xf>
    <xf numFmtId="165" fontId="9" fillId="12" borderId="1" xfId="0" applyNumberFormat="1" applyFont="1" applyFill="1" applyBorder="1" applyAlignment="1">
      <alignment horizontal="right" vertical="center" wrapText="1"/>
    </xf>
    <xf numFmtId="165" fontId="3" fillId="15" borderId="1" xfId="0" applyNumberFormat="1" applyFont="1" applyFill="1" applyBorder="1" applyAlignment="1">
      <alignment horizontal="right" vertical="center" wrapText="1"/>
    </xf>
    <xf numFmtId="169" fontId="3" fillId="15" borderId="1" xfId="0" applyNumberFormat="1" applyFont="1" applyFill="1" applyBorder="1" applyAlignment="1">
      <alignment horizontal="right" vertical="center" wrapText="1"/>
    </xf>
    <xf numFmtId="167" fontId="3" fillId="15" borderId="1" xfId="0" applyNumberFormat="1" applyFont="1" applyFill="1" applyBorder="1" applyAlignment="1">
      <alignment horizontal="right" vertical="center" wrapText="1"/>
    </xf>
    <xf numFmtId="1" fontId="3" fillId="12" borderId="1" xfId="0" applyNumberFormat="1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left" vertical="center" wrapText="1"/>
    </xf>
    <xf numFmtId="165" fontId="10" fillId="12" borderId="1" xfId="0" applyNumberFormat="1" applyFont="1" applyFill="1" applyBorder="1" applyAlignment="1">
      <alignment horizontal="right" vertical="center"/>
    </xf>
    <xf numFmtId="165" fontId="3" fillId="12" borderId="1" xfId="0" applyNumberFormat="1" applyFont="1" applyFill="1" applyBorder="1" applyAlignment="1">
      <alignment horizontal="right" vertical="center" wrapText="1"/>
    </xf>
    <xf numFmtId="169" fontId="3" fillId="12" borderId="1" xfId="0" applyNumberFormat="1" applyFont="1" applyFill="1" applyBorder="1" applyAlignment="1">
      <alignment horizontal="right" vertical="center" wrapText="1"/>
    </xf>
    <xf numFmtId="1" fontId="3" fillId="11" borderId="1" xfId="0" applyNumberFormat="1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left" vertical="center" wrapText="1"/>
    </xf>
    <xf numFmtId="165" fontId="9" fillId="11" borderId="1" xfId="0" applyNumberFormat="1" applyFont="1" applyFill="1" applyBorder="1" applyAlignment="1">
      <alignment horizontal="right" vertical="center" wrapText="1"/>
    </xf>
    <xf numFmtId="165" fontId="3" fillId="11" borderId="1" xfId="0" applyNumberFormat="1" applyFont="1" applyFill="1" applyBorder="1" applyAlignment="1">
      <alignment horizontal="right" vertical="center" wrapText="1"/>
    </xf>
    <xf numFmtId="165" fontId="10" fillId="11" borderId="1" xfId="0" applyNumberFormat="1" applyFont="1" applyFill="1" applyBorder="1" applyAlignment="1">
      <alignment horizontal="right" vertical="center"/>
    </xf>
    <xf numFmtId="1" fontId="3" fillId="13" borderId="1" xfId="0" applyNumberFormat="1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left" vertical="center" wrapText="1"/>
    </xf>
    <xf numFmtId="165" fontId="10" fillId="13" borderId="1" xfId="0" applyNumberFormat="1" applyFont="1" applyFill="1" applyBorder="1" applyAlignment="1">
      <alignment horizontal="right" vertical="center"/>
    </xf>
    <xf numFmtId="169" fontId="3" fillId="13" borderId="1" xfId="0" applyNumberFormat="1" applyFont="1" applyFill="1" applyBorder="1" applyAlignment="1">
      <alignment horizontal="right" vertical="center" wrapText="1"/>
    </xf>
    <xf numFmtId="165" fontId="8" fillId="2" borderId="1" xfId="0" applyNumberFormat="1" applyFont="1" applyFill="1" applyBorder="1" applyAlignment="1">
      <alignment horizontal="right" vertical="center" wrapText="1"/>
    </xf>
    <xf numFmtId="0" fontId="6" fillId="17" borderId="0" xfId="0" applyFont="1" applyFill="1" applyAlignment="1">
      <alignment vertical="center" wrapText="1"/>
    </xf>
    <xf numFmtId="0" fontId="11" fillId="17" borderId="0" xfId="0" applyFont="1" applyFill="1" applyAlignment="1">
      <alignment vertical="center" wrapText="1"/>
    </xf>
    <xf numFmtId="0" fontId="12" fillId="16" borderId="0" xfId="0" applyFont="1" applyFill="1" applyAlignment="1">
      <alignment horizontal="left" vertical="center" wrapText="1"/>
    </xf>
    <xf numFmtId="0" fontId="3" fillId="16" borderId="0" xfId="0" applyFont="1" applyFill="1" applyAlignment="1">
      <alignment horizontal="left" vertical="center" wrapText="1"/>
    </xf>
    <xf numFmtId="0" fontId="4" fillId="16" borderId="0" xfId="0" applyFont="1" applyFill="1" applyAlignment="1">
      <alignment horizontal="left" vertical="center" wrapText="1"/>
    </xf>
    <xf numFmtId="0" fontId="13" fillId="16" borderId="0" xfId="0" applyFont="1" applyFill="1" applyAlignment="1">
      <alignment horizontal="left" vertical="center" wrapText="1"/>
    </xf>
    <xf numFmtId="0" fontId="8" fillId="20" borderId="0" xfId="0" applyFont="1" applyFill="1" applyAlignment="1">
      <alignment vertical="center" wrapText="1"/>
    </xf>
    <xf numFmtId="0" fontId="4" fillId="16" borderId="1" xfId="0" applyFont="1" applyFill="1" applyBorder="1" applyAlignment="1">
      <alignment horizontal="left" vertical="center" wrapText="1"/>
    </xf>
    <xf numFmtId="0" fontId="14" fillId="16" borderId="1" xfId="0" applyFont="1" applyFill="1" applyBorder="1" applyAlignment="1">
      <alignment horizontal="left" vertical="center" wrapText="1"/>
    </xf>
    <xf numFmtId="0" fontId="15" fillId="16" borderId="1" xfId="0" applyFont="1" applyFill="1" applyBorder="1" applyAlignment="1">
      <alignment horizontal="left" vertical="center" wrapText="1"/>
    </xf>
    <xf numFmtId="0" fontId="16" fillId="16" borderId="1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7" fillId="16" borderId="1" xfId="0" applyFont="1" applyFill="1" applyBorder="1" applyAlignment="1">
      <alignment horizontal="left" vertical="center" wrapText="1"/>
    </xf>
    <xf numFmtId="0" fontId="9" fillId="16" borderId="1" xfId="0" applyFont="1" applyFill="1" applyBorder="1" applyAlignment="1">
      <alignment horizontal="left" vertical="center" wrapText="1"/>
    </xf>
    <xf numFmtId="0" fontId="8" fillId="17" borderId="0" xfId="0" applyFont="1" applyFill="1" applyAlignment="1">
      <alignment vertical="center" wrapText="1"/>
    </xf>
    <xf numFmtId="0" fontId="12" fillId="23" borderId="1" xfId="0" applyFont="1" applyFill="1" applyBorder="1" applyAlignment="1">
      <alignment horizontal="center" vertical="center" wrapText="1"/>
    </xf>
    <xf numFmtId="165" fontId="18" fillId="16" borderId="1" xfId="0" applyNumberFormat="1" applyFont="1" applyFill="1" applyBorder="1" applyAlignment="1">
      <alignment horizontal="center" vertical="center" wrapText="1"/>
    </xf>
    <xf numFmtId="167" fontId="9" fillId="16" borderId="1" xfId="0" applyNumberFormat="1" applyFont="1" applyFill="1" applyBorder="1" applyAlignment="1">
      <alignment horizontal="center" vertical="center" wrapText="1"/>
    </xf>
    <xf numFmtId="49" fontId="9" fillId="18" borderId="1" xfId="0" applyNumberFormat="1" applyFont="1" applyFill="1" applyBorder="1" applyAlignment="1">
      <alignment horizontal="right" vertical="center" wrapText="1"/>
    </xf>
    <xf numFmtId="49" fontId="13" fillId="23" borderId="1" xfId="0" applyNumberFormat="1" applyFont="1" applyFill="1" applyBorder="1" applyAlignment="1">
      <alignment horizontal="center" vertical="center" wrapText="1"/>
    </xf>
    <xf numFmtId="165" fontId="9" fillId="18" borderId="1" xfId="0" applyNumberFormat="1" applyFont="1" applyFill="1" applyBorder="1" applyAlignment="1">
      <alignment horizontal="right" vertical="center" wrapText="1"/>
    </xf>
    <xf numFmtId="0" fontId="13" fillId="23" borderId="1" xfId="0" applyFont="1" applyFill="1" applyBorder="1" applyAlignment="1">
      <alignment horizontal="center" vertical="center" wrapText="1"/>
    </xf>
    <xf numFmtId="164" fontId="9" fillId="18" borderId="1" xfId="0" applyNumberFormat="1" applyFont="1" applyFill="1" applyBorder="1" applyAlignment="1">
      <alignment horizontal="right" vertical="center" wrapText="1"/>
    </xf>
    <xf numFmtId="9" fontId="13" fillId="23" borderId="1" xfId="1" applyFont="1" applyFill="1" applyBorder="1" applyAlignment="1">
      <alignment horizontal="center" vertical="center" wrapText="1"/>
    </xf>
    <xf numFmtId="0" fontId="13" fillId="23" borderId="1" xfId="1" applyNumberFormat="1" applyFont="1" applyFill="1" applyBorder="1" applyAlignment="1">
      <alignment horizontal="center" vertical="center" wrapText="1"/>
    </xf>
    <xf numFmtId="168" fontId="9" fillId="16" borderId="1" xfId="0" applyNumberFormat="1" applyFont="1" applyFill="1" applyBorder="1" applyAlignment="1">
      <alignment horizontal="right" vertical="center" wrapText="1"/>
    </xf>
    <xf numFmtId="164" fontId="9" fillId="16" borderId="1" xfId="0" applyNumberFormat="1" applyFont="1" applyFill="1" applyBorder="1" applyAlignment="1">
      <alignment horizontal="right" vertical="center" wrapText="1"/>
    </xf>
    <xf numFmtId="49" fontId="13" fillId="13" borderId="1" xfId="1" applyNumberFormat="1" applyFont="1" applyFill="1" applyBorder="1" applyAlignment="1">
      <alignment horizontal="center" vertical="center" wrapText="1"/>
    </xf>
    <xf numFmtId="10" fontId="9" fillId="18" borderId="1" xfId="0" applyNumberFormat="1" applyFont="1" applyFill="1" applyBorder="1" applyAlignment="1">
      <alignment horizontal="right" vertical="center" wrapText="1"/>
    </xf>
    <xf numFmtId="9" fontId="13" fillId="13" borderId="1" xfId="1" applyFont="1" applyFill="1" applyBorder="1" applyAlignment="1">
      <alignment horizontal="center" vertical="center" wrapText="1"/>
    </xf>
    <xf numFmtId="1" fontId="9" fillId="18" borderId="1" xfId="0" applyNumberFormat="1" applyFont="1" applyFill="1" applyBorder="1" applyAlignment="1">
      <alignment horizontal="right" vertical="center" wrapText="1"/>
    </xf>
    <xf numFmtId="169" fontId="9" fillId="16" borderId="1" xfId="0" applyNumberFormat="1" applyFont="1" applyFill="1" applyBorder="1" applyAlignment="1">
      <alignment horizontal="right" vertical="center" wrapText="1"/>
    </xf>
    <xf numFmtId="1" fontId="3" fillId="18" borderId="1" xfId="0" applyNumberFormat="1" applyFont="1" applyFill="1" applyBorder="1" applyAlignment="1">
      <alignment horizontal="center" vertical="center" wrapText="1"/>
    </xf>
    <xf numFmtId="169" fontId="19" fillId="16" borderId="1" xfId="0" applyNumberFormat="1" applyFont="1" applyFill="1" applyBorder="1" applyAlignment="1">
      <alignment horizontal="right" vertical="center" wrapText="1"/>
    </xf>
    <xf numFmtId="1" fontId="3" fillId="16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8" fontId="9" fillId="6" borderId="1" xfId="0" applyNumberFormat="1" applyFont="1" applyFill="1" applyBorder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9" fillId="6" borderId="1" xfId="0" applyNumberFormat="1" applyFont="1" applyFill="1" applyBorder="1" applyAlignment="1">
      <alignment horizontal="center" vertical="center" wrapText="1"/>
    </xf>
    <xf numFmtId="164" fontId="9" fillId="6" borderId="1" xfId="0" applyNumberFormat="1" applyFont="1" applyFill="1" applyBorder="1" applyAlignment="1">
      <alignment horizontal="center" vertical="center" wrapText="1"/>
    </xf>
    <xf numFmtId="165" fontId="20" fillId="11" borderId="1" xfId="0" applyNumberFormat="1" applyFont="1" applyFill="1" applyBorder="1" applyAlignment="1">
      <alignment horizontal="right" vertical="center" wrapText="1"/>
    </xf>
    <xf numFmtId="165" fontId="13" fillId="18" borderId="1" xfId="0" applyNumberFormat="1" applyFont="1" applyFill="1" applyBorder="1" applyAlignment="1">
      <alignment horizontal="right" vertical="center" wrapText="1"/>
    </xf>
    <xf numFmtId="164" fontId="13" fillId="18" borderId="1" xfId="0" applyNumberFormat="1" applyFont="1" applyFill="1" applyBorder="1" applyAlignment="1">
      <alignment horizontal="right" vertical="center" wrapText="1"/>
    </xf>
    <xf numFmtId="0" fontId="3" fillId="18" borderId="1" xfId="0" applyFont="1" applyFill="1" applyBorder="1" applyAlignment="1">
      <alignment horizontal="left" vertical="center" wrapText="1"/>
    </xf>
    <xf numFmtId="165" fontId="3" fillId="18" borderId="1" xfId="0" applyNumberFormat="1" applyFont="1" applyFill="1" applyBorder="1" applyAlignment="1">
      <alignment horizontal="center" vertical="center" wrapText="1"/>
    </xf>
    <xf numFmtId="167" fontId="3" fillId="18" borderId="1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167" fontId="8" fillId="2" borderId="1" xfId="0" applyNumberFormat="1" applyFont="1" applyFill="1" applyBorder="1" applyAlignment="1">
      <alignment horizontal="center" vertical="center" wrapText="1"/>
    </xf>
    <xf numFmtId="0" fontId="4" fillId="18" borderId="1" xfId="0" applyFont="1" applyFill="1" applyBorder="1" applyAlignment="1">
      <alignment horizontal="left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16" fillId="18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left" vertical="center" wrapText="1"/>
    </xf>
    <xf numFmtId="1" fontId="7" fillId="16" borderId="0" xfId="0" applyNumberFormat="1" applyFont="1" applyFill="1" applyAlignment="1">
      <alignment vertical="center" wrapText="1"/>
    </xf>
    <xf numFmtId="0" fontId="4" fillId="13" borderId="1" xfId="0" applyFont="1" applyFill="1" applyBorder="1" applyAlignment="1">
      <alignment horizontal="left" vertical="center" wrapText="1"/>
    </xf>
    <xf numFmtId="49" fontId="3" fillId="7" borderId="1" xfId="0" applyNumberFormat="1" applyFont="1" applyFill="1" applyBorder="1" applyAlignment="1">
      <alignment horizontal="right" vertical="center" wrapText="1"/>
    </xf>
    <xf numFmtId="0" fontId="6" fillId="17" borderId="0" xfId="0" applyFont="1" applyFill="1" applyAlignment="1">
      <alignment horizontal="left" vertical="center" wrapText="1"/>
    </xf>
    <xf numFmtId="0" fontId="8" fillId="20" borderId="0" xfId="0" applyFont="1" applyFill="1" applyAlignment="1">
      <alignment horizontal="left" vertical="center" wrapText="1"/>
    </xf>
    <xf numFmtId="0" fontId="8" fillId="17" borderId="5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left" vertical="center" wrapText="1"/>
    </xf>
    <xf numFmtId="167" fontId="9" fillId="16" borderId="1" xfId="0" applyNumberFormat="1" applyFont="1" applyFill="1" applyBorder="1" applyAlignment="1">
      <alignment horizontal="right" vertical="center" wrapText="1"/>
    </xf>
    <xf numFmtId="0" fontId="3" fillId="16" borderId="1" xfId="0" applyFont="1" applyFill="1" applyBorder="1" applyAlignment="1">
      <alignment horizontal="center" vertical="center" wrapText="1"/>
    </xf>
    <xf numFmtId="165" fontId="3" fillId="21" borderId="0" xfId="0" applyNumberFormat="1" applyFont="1" applyFill="1" applyAlignment="1">
      <alignment horizontal="right" vertical="center" wrapText="1"/>
    </xf>
    <xf numFmtId="165" fontId="3" fillId="22" borderId="0" xfId="0" applyNumberFormat="1" applyFont="1" applyFill="1" applyAlignment="1">
      <alignment horizontal="right" vertical="center" wrapText="1"/>
    </xf>
    <xf numFmtId="165" fontId="3" fillId="23" borderId="0" xfId="0" applyNumberFormat="1" applyFont="1" applyFill="1" applyAlignment="1">
      <alignment horizontal="right" vertical="center" wrapText="1"/>
    </xf>
    <xf numFmtId="0" fontId="15" fillId="22" borderId="0" xfId="0" applyFont="1" applyFill="1" applyAlignment="1">
      <alignment horizontal="left" vertical="center" wrapText="1"/>
    </xf>
    <xf numFmtId="43" fontId="9" fillId="12" borderId="1" xfId="2" applyFont="1" applyFill="1" applyBorder="1" applyAlignment="1">
      <alignment horizontal="right" vertical="center" wrapText="1"/>
    </xf>
    <xf numFmtId="43" fontId="3" fillId="12" borderId="1" xfId="2" applyFont="1" applyFill="1" applyBorder="1" applyAlignment="1">
      <alignment horizontal="right" vertical="center" wrapText="1"/>
    </xf>
    <xf numFmtId="43" fontId="8" fillId="2" borderId="1" xfId="2" applyFont="1" applyFill="1" applyBorder="1" applyAlignment="1">
      <alignment horizontal="right" vertical="center" wrapText="1"/>
    </xf>
    <xf numFmtId="43" fontId="8" fillId="2" borderId="1" xfId="2" applyFont="1" applyFill="1" applyBorder="1" applyAlignment="1">
      <alignment horizontal="center" vertical="center" wrapText="1"/>
    </xf>
    <xf numFmtId="43" fontId="9" fillId="11" borderId="1" xfId="2" applyFont="1" applyFill="1" applyBorder="1" applyAlignment="1">
      <alignment horizontal="right" vertical="center" wrapText="1"/>
    </xf>
    <xf numFmtId="43" fontId="3" fillId="16" borderId="1" xfId="2" applyFont="1" applyFill="1" applyBorder="1" applyAlignment="1">
      <alignment horizontal="right" vertical="center" wrapText="1"/>
    </xf>
    <xf numFmtId="167" fontId="3" fillId="16" borderId="1" xfId="0" applyNumberFormat="1" applyFont="1" applyFill="1" applyBorder="1" applyAlignment="1">
      <alignment horizontal="right" vertical="center" wrapText="1"/>
    </xf>
    <xf numFmtId="43" fontId="4" fillId="16" borderId="1" xfId="2" applyFont="1" applyFill="1" applyBorder="1" applyAlignment="1">
      <alignment horizontal="right" vertical="center" wrapText="1"/>
    </xf>
    <xf numFmtId="9" fontId="4" fillId="16" borderId="1" xfId="1" applyFont="1" applyFill="1" applyBorder="1" applyAlignment="1">
      <alignment horizontal="right" vertical="center" wrapText="1"/>
    </xf>
    <xf numFmtId="43" fontId="25" fillId="12" borderId="1" xfId="2" applyFont="1" applyFill="1" applyBorder="1" applyAlignment="1">
      <alignment horizontal="right" vertical="center" wrapText="1"/>
    </xf>
    <xf numFmtId="43" fontId="25" fillId="11" borderId="1" xfId="2" applyFont="1" applyFill="1" applyBorder="1" applyAlignment="1">
      <alignment horizontal="right" vertical="center" wrapText="1"/>
    </xf>
    <xf numFmtId="0" fontId="26" fillId="16" borderId="0" xfId="0" applyFont="1" applyFill="1" applyAlignment="1">
      <alignment vertical="center" wrapText="1"/>
    </xf>
    <xf numFmtId="0" fontId="26" fillId="0" borderId="0" xfId="0" applyFont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43" fontId="7" fillId="16" borderId="0" xfId="2" applyFont="1" applyFill="1" applyAlignment="1">
      <alignment vertical="center" wrapText="1"/>
    </xf>
    <xf numFmtId="0" fontId="9" fillId="16" borderId="1" xfId="0" applyFont="1" applyFill="1" applyBorder="1" applyAlignment="1">
      <alignment horizontal="right" vertical="center" wrapText="1"/>
    </xf>
    <xf numFmtId="0" fontId="28" fillId="16" borderId="1" xfId="0" applyFont="1" applyFill="1" applyBorder="1" applyAlignment="1">
      <alignment horizontal="right" vertical="center" wrapText="1"/>
    </xf>
    <xf numFmtId="0" fontId="29" fillId="16" borderId="1" xfId="0" applyFont="1" applyFill="1" applyBorder="1" applyAlignment="1">
      <alignment horizontal="center" vertical="center" wrapText="1"/>
    </xf>
    <xf numFmtId="0" fontId="27" fillId="16" borderId="1" xfId="0" applyFont="1" applyFill="1" applyBorder="1" applyAlignment="1">
      <alignment horizontal="left" vertical="center" wrapText="1"/>
    </xf>
    <xf numFmtId="0" fontId="30" fillId="16" borderId="0" xfId="0" applyFont="1" applyFill="1" applyAlignment="1">
      <alignment horizontal="left" vertical="center" wrapText="1"/>
    </xf>
    <xf numFmtId="0" fontId="29" fillId="16" borderId="0" xfId="0" applyFont="1" applyFill="1" applyAlignment="1">
      <alignment horizontal="left" vertical="center" wrapText="1"/>
    </xf>
    <xf numFmtId="0" fontId="29" fillId="16" borderId="1" xfId="0" applyFont="1" applyFill="1" applyBorder="1" applyAlignment="1">
      <alignment horizontal="left" vertical="center" wrapText="1"/>
    </xf>
    <xf numFmtId="166" fontId="9" fillId="16" borderId="1" xfId="0" applyNumberFormat="1" applyFont="1" applyFill="1" applyBorder="1" applyAlignment="1">
      <alignment horizontal="right" vertical="center" wrapText="1"/>
    </xf>
    <xf numFmtId="166" fontId="4" fillId="16" borderId="1" xfId="0" applyNumberFormat="1" applyFont="1" applyFill="1" applyBorder="1" applyAlignment="1">
      <alignment horizontal="right" vertical="center" wrapText="1"/>
    </xf>
    <xf numFmtId="0" fontId="31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center" vertical="center" wrapText="1"/>
    </xf>
    <xf numFmtId="164" fontId="9" fillId="16" borderId="1" xfId="0" applyNumberFormat="1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right" vertical="center" wrapText="1"/>
    </xf>
    <xf numFmtId="165" fontId="9" fillId="16" borderId="1" xfId="0" applyNumberFormat="1" applyFont="1" applyFill="1" applyBorder="1" applyAlignment="1">
      <alignment horizontal="right" vertical="center" wrapText="1"/>
    </xf>
    <xf numFmtId="0" fontId="7" fillId="17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18" borderId="0" xfId="0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4" borderId="0" xfId="0" applyFont="1" applyFill="1" applyAlignment="1">
      <alignment vertical="center" wrapText="1"/>
    </xf>
    <xf numFmtId="0" fontId="7" fillId="5" borderId="0" xfId="0" applyFont="1" applyFill="1" applyAlignment="1">
      <alignment vertical="center" wrapText="1"/>
    </xf>
    <xf numFmtId="0" fontId="7" fillId="8" borderId="0" xfId="0" applyFont="1" applyFill="1" applyAlignment="1">
      <alignment vertical="center" wrapText="1"/>
    </xf>
    <xf numFmtId="0" fontId="7" fillId="9" borderId="0" xfId="0" applyFont="1" applyFill="1" applyAlignment="1">
      <alignment vertical="center" wrapText="1"/>
    </xf>
    <xf numFmtId="0" fontId="7" fillId="10" borderId="0" xfId="0" applyFont="1" applyFill="1" applyAlignment="1">
      <alignment vertical="center" wrapText="1"/>
    </xf>
    <xf numFmtId="0" fontId="31" fillId="4" borderId="0" xfId="0" applyFont="1" applyFill="1" applyAlignment="1">
      <alignment horizontal="left" vertical="center" wrapText="1"/>
    </xf>
    <xf numFmtId="166" fontId="3" fillId="12" borderId="1" xfId="0" applyNumberFormat="1" applyFont="1" applyFill="1" applyBorder="1" applyAlignment="1">
      <alignment horizontal="right" vertical="center" wrapText="1"/>
    </xf>
    <xf numFmtId="170" fontId="3" fillId="12" borderId="1" xfId="1" applyNumberFormat="1" applyFont="1" applyFill="1" applyBorder="1" applyAlignment="1">
      <alignment horizontal="right" vertical="center" wrapText="1"/>
    </xf>
    <xf numFmtId="167" fontId="41" fillId="12" borderId="1" xfId="0" applyNumberFormat="1" applyFont="1" applyFill="1" applyBorder="1" applyAlignment="1">
      <alignment horizontal="center" vertical="center" wrapText="1"/>
    </xf>
    <xf numFmtId="166" fontId="3" fillId="11" borderId="1" xfId="0" applyNumberFormat="1" applyFont="1" applyFill="1" applyBorder="1" applyAlignment="1">
      <alignment horizontal="right" vertical="center" wrapText="1"/>
    </xf>
    <xf numFmtId="170" fontId="3" fillId="11" borderId="1" xfId="1" applyNumberFormat="1" applyFont="1" applyFill="1" applyBorder="1" applyAlignment="1">
      <alignment horizontal="right" vertical="center" wrapText="1"/>
    </xf>
    <xf numFmtId="167" fontId="41" fillId="11" borderId="1" xfId="0" applyNumberFormat="1" applyFont="1" applyFill="1" applyBorder="1" applyAlignment="1">
      <alignment horizontal="center" vertical="center" wrapText="1"/>
    </xf>
    <xf numFmtId="166" fontId="3" fillId="13" borderId="1" xfId="0" applyNumberFormat="1" applyFont="1" applyFill="1" applyBorder="1" applyAlignment="1">
      <alignment horizontal="right" vertical="center" wrapText="1"/>
    </xf>
    <xf numFmtId="170" fontId="3" fillId="13" borderId="1" xfId="1" applyNumberFormat="1" applyFont="1" applyFill="1" applyBorder="1" applyAlignment="1">
      <alignment horizontal="right" vertical="center" wrapText="1"/>
    </xf>
    <xf numFmtId="167" fontId="41" fillId="13" borderId="1" xfId="0" applyNumberFormat="1" applyFont="1" applyFill="1" applyBorder="1" applyAlignment="1">
      <alignment horizontal="center" vertical="center" wrapText="1"/>
    </xf>
    <xf numFmtId="166" fontId="3" fillId="7" borderId="1" xfId="0" applyNumberFormat="1" applyFont="1" applyFill="1" applyBorder="1" applyAlignment="1">
      <alignment horizontal="right" vertical="center" wrapText="1"/>
    </xf>
    <xf numFmtId="170" fontId="3" fillId="7" borderId="1" xfId="1" applyNumberFormat="1" applyFont="1" applyFill="1" applyBorder="1" applyAlignment="1">
      <alignment horizontal="right" vertical="center" wrapText="1"/>
    </xf>
    <xf numFmtId="0" fontId="3" fillId="14" borderId="1" xfId="0" applyFont="1" applyFill="1" applyBorder="1" applyAlignment="1">
      <alignment horizontal="left" vertical="center" wrapText="1"/>
    </xf>
    <xf numFmtId="0" fontId="41" fillId="14" borderId="1" xfId="0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>
      <alignment horizontal="right" vertical="center" wrapText="1"/>
    </xf>
    <xf numFmtId="167" fontId="8" fillId="2" borderId="1" xfId="0" applyNumberFormat="1" applyFont="1" applyFill="1" applyBorder="1" applyAlignment="1">
      <alignment horizontal="right" vertical="center" wrapText="1"/>
    </xf>
    <xf numFmtId="1" fontId="41" fillId="11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1" fontId="41" fillId="13" borderId="1" xfId="0" applyNumberFormat="1" applyFont="1" applyFill="1" applyBorder="1" applyAlignment="1">
      <alignment horizontal="center" vertical="center" wrapText="1"/>
    </xf>
    <xf numFmtId="9" fontId="3" fillId="12" borderId="1" xfId="1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left" vertical="center" wrapText="1"/>
    </xf>
    <xf numFmtId="43" fontId="9" fillId="13" borderId="1" xfId="2" applyFont="1" applyFill="1" applyBorder="1" applyAlignment="1">
      <alignment horizontal="right" vertical="center" wrapText="1"/>
    </xf>
    <xf numFmtId="9" fontId="3" fillId="13" borderId="1" xfId="1" applyFont="1" applyFill="1" applyBorder="1" applyAlignment="1">
      <alignment horizontal="center" vertical="center" wrapText="1"/>
    </xf>
    <xf numFmtId="0" fontId="26" fillId="17" borderId="0" xfId="0" applyFont="1" applyFill="1" applyAlignment="1">
      <alignment vertical="center" wrapText="1"/>
    </xf>
    <xf numFmtId="0" fontId="26" fillId="2" borderId="0" xfId="0" applyFont="1" applyFill="1" applyAlignment="1">
      <alignment vertical="center" wrapText="1"/>
    </xf>
    <xf numFmtId="165" fontId="43" fillId="12" borderId="1" xfId="0" applyNumberFormat="1" applyFont="1" applyFill="1" applyBorder="1" applyAlignment="1">
      <alignment horizontal="right" vertical="center" wrapText="1"/>
    </xf>
    <xf numFmtId="165" fontId="43" fillId="11" borderId="1" xfId="0" applyNumberFormat="1" applyFont="1" applyFill="1" applyBorder="1" applyAlignment="1">
      <alignment horizontal="right" vertical="center" wrapText="1"/>
    </xf>
    <xf numFmtId="165" fontId="43" fillId="13" borderId="1" xfId="0" applyNumberFormat="1" applyFont="1" applyFill="1" applyBorder="1" applyAlignment="1">
      <alignment horizontal="right" vertical="center" wrapText="1"/>
    </xf>
    <xf numFmtId="43" fontId="7" fillId="16" borderId="0" xfId="0" applyNumberFormat="1" applyFont="1" applyFill="1" applyAlignment="1">
      <alignment vertical="center" wrapText="1"/>
    </xf>
    <xf numFmtId="165" fontId="7" fillId="16" borderId="0" xfId="0" applyNumberFormat="1" applyFont="1" applyFill="1" applyAlignment="1">
      <alignment vertical="center" wrapText="1"/>
    </xf>
    <xf numFmtId="43" fontId="43" fillId="12" borderId="1" xfId="2" applyFont="1" applyFill="1" applyBorder="1" applyAlignment="1">
      <alignment horizontal="right" vertical="center" wrapText="1"/>
    </xf>
    <xf numFmtId="43" fontId="44" fillId="12" borderId="1" xfId="2" applyFont="1" applyFill="1" applyBorder="1" applyAlignment="1">
      <alignment horizontal="right" vertical="center" wrapText="1"/>
    </xf>
    <xf numFmtId="43" fontId="43" fillId="11" borderId="1" xfId="2" applyFont="1" applyFill="1" applyBorder="1" applyAlignment="1">
      <alignment horizontal="right" vertical="center" wrapText="1"/>
    </xf>
    <xf numFmtId="43" fontId="44" fillId="11" borderId="1" xfId="2" applyFont="1" applyFill="1" applyBorder="1" applyAlignment="1">
      <alignment horizontal="right" vertical="center" wrapText="1"/>
    </xf>
    <xf numFmtId="43" fontId="43" fillId="13" borderId="1" xfId="2" applyFont="1" applyFill="1" applyBorder="1" applyAlignment="1">
      <alignment horizontal="right" vertical="center" wrapText="1"/>
    </xf>
    <xf numFmtId="43" fontId="44" fillId="13" borderId="1" xfId="2" applyFont="1" applyFill="1" applyBorder="1" applyAlignment="1">
      <alignment horizontal="right" vertical="center" wrapText="1"/>
    </xf>
    <xf numFmtId="165" fontId="18" fillId="12" borderId="1" xfId="0" applyNumberFormat="1" applyFont="1" applyFill="1" applyBorder="1" applyAlignment="1">
      <alignment horizontal="right" vertical="center" wrapText="1"/>
    </xf>
    <xf numFmtId="165" fontId="18" fillId="11" borderId="1" xfId="0" applyNumberFormat="1" applyFont="1" applyFill="1" applyBorder="1" applyAlignment="1">
      <alignment horizontal="right" vertical="center" wrapText="1"/>
    </xf>
    <xf numFmtId="165" fontId="18" fillId="13" borderId="1" xfId="0" applyNumberFormat="1" applyFont="1" applyFill="1" applyBorder="1" applyAlignment="1">
      <alignment horizontal="right" vertical="center" wrapText="1"/>
    </xf>
    <xf numFmtId="10" fontId="7" fillId="16" borderId="0" xfId="1" applyNumberFormat="1" applyFont="1" applyFill="1" applyAlignment="1">
      <alignment vertical="center" wrapText="1"/>
    </xf>
    <xf numFmtId="166" fontId="43" fillId="12" borderId="1" xfId="0" applyNumberFormat="1" applyFont="1" applyFill="1" applyBorder="1" applyAlignment="1">
      <alignment horizontal="right" vertical="center" wrapText="1"/>
    </xf>
    <xf numFmtId="166" fontId="44" fillId="13" borderId="1" xfId="0" applyNumberFormat="1" applyFont="1" applyFill="1" applyBorder="1" applyAlignment="1">
      <alignment horizontal="right" vertical="center" wrapText="1"/>
    </xf>
    <xf numFmtId="166" fontId="43" fillId="11" borderId="1" xfId="0" applyNumberFormat="1" applyFont="1" applyFill="1" applyBorder="1" applyAlignment="1">
      <alignment horizontal="right" vertical="center" wrapText="1"/>
    </xf>
    <xf numFmtId="164" fontId="44" fillId="13" borderId="1" xfId="0" applyNumberFormat="1" applyFont="1" applyFill="1" applyBorder="1" applyAlignment="1">
      <alignment horizontal="right" vertical="center" wrapText="1"/>
    </xf>
    <xf numFmtId="1" fontId="3" fillId="22" borderId="1" xfId="0" applyNumberFormat="1" applyFont="1" applyFill="1" applyBorder="1" applyAlignment="1">
      <alignment horizontal="center" vertical="center" wrapText="1"/>
    </xf>
    <xf numFmtId="1" fontId="3" fillId="23" borderId="1" xfId="0" applyNumberFormat="1" applyFont="1" applyFill="1" applyBorder="1" applyAlignment="1">
      <alignment horizontal="center" vertical="center" wrapText="1"/>
    </xf>
    <xf numFmtId="0" fontId="19" fillId="23" borderId="1" xfId="0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3" fontId="38" fillId="6" borderId="2" xfId="0" applyNumberFormat="1" applyFont="1" applyFill="1" applyBorder="1" applyAlignment="1">
      <alignment horizontal="center" vertical="center" wrapText="1"/>
    </xf>
    <xf numFmtId="9" fontId="39" fillId="6" borderId="1" xfId="1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vertical="center" wrapText="1"/>
    </xf>
    <xf numFmtId="0" fontId="7" fillId="25" borderId="0" xfId="0" applyFont="1" applyFill="1" applyAlignment="1">
      <alignment vertical="center" wrapText="1"/>
    </xf>
    <xf numFmtId="0" fontId="8" fillId="25" borderId="1" xfId="0" applyFont="1" applyFill="1" applyBorder="1" applyAlignment="1">
      <alignment horizontal="center" vertical="center" wrapText="1"/>
    </xf>
    <xf numFmtId="0" fontId="46" fillId="16" borderId="0" xfId="0" applyFont="1" applyFill="1" applyAlignment="1">
      <alignment vertical="center" wrapText="1"/>
    </xf>
    <xf numFmtId="43" fontId="9" fillId="22" borderId="1" xfId="2" applyFont="1" applyFill="1" applyBorder="1" applyAlignment="1">
      <alignment horizontal="center" vertical="center" wrapText="1"/>
    </xf>
    <xf numFmtId="43" fontId="3" fillId="22" borderId="1" xfId="2" applyFont="1" applyFill="1" applyBorder="1" applyAlignment="1">
      <alignment horizontal="center" vertical="center" wrapText="1"/>
    </xf>
    <xf numFmtId="164" fontId="3" fillId="22" borderId="1" xfId="0" applyNumberFormat="1" applyFont="1" applyFill="1" applyBorder="1" applyAlignment="1">
      <alignment horizontal="center" vertical="center" wrapText="1"/>
    </xf>
    <xf numFmtId="43" fontId="9" fillId="23" borderId="1" xfId="2" applyFont="1" applyFill="1" applyBorder="1" applyAlignment="1">
      <alignment horizontal="center" vertical="center" wrapText="1"/>
    </xf>
    <xf numFmtId="43" fontId="3" fillId="23" borderId="1" xfId="2" applyFont="1" applyFill="1" applyBorder="1" applyAlignment="1">
      <alignment horizontal="center" vertical="center" wrapText="1"/>
    </xf>
    <xf numFmtId="164" fontId="3" fillId="23" borderId="1" xfId="0" applyNumberFormat="1" applyFont="1" applyFill="1" applyBorder="1" applyAlignment="1">
      <alignment horizontal="center" vertical="center" wrapText="1"/>
    </xf>
    <xf numFmtId="170" fontId="8" fillId="2" borderId="1" xfId="1" applyNumberFormat="1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18" borderId="1" xfId="0" applyFont="1" applyFill="1" applyBorder="1" applyAlignment="1">
      <alignment horizontal="center" vertical="center" wrapText="1"/>
    </xf>
    <xf numFmtId="0" fontId="4" fillId="26" borderId="1" xfId="0" applyFont="1" applyFill="1" applyBorder="1" applyAlignment="1">
      <alignment horizontal="left" vertical="center" wrapText="1"/>
    </xf>
    <xf numFmtId="0" fontId="24" fillId="26" borderId="1" xfId="0" applyFont="1" applyFill="1" applyBorder="1" applyAlignment="1">
      <alignment horizontal="center" vertical="center" wrapText="1"/>
    </xf>
    <xf numFmtId="0" fontId="4" fillId="27" borderId="1" xfId="0" applyFont="1" applyFill="1" applyBorder="1" applyAlignment="1">
      <alignment horizontal="left" vertical="center" wrapText="1"/>
    </xf>
    <xf numFmtId="0" fontId="5" fillId="17" borderId="0" xfId="0" applyFont="1" applyFill="1" applyAlignment="1">
      <alignment vertical="center" wrapText="1"/>
    </xf>
    <xf numFmtId="171" fontId="7" fillId="0" borderId="0" xfId="0" applyNumberFormat="1" applyFont="1" applyAlignment="1">
      <alignment vertical="center" wrapText="1"/>
    </xf>
    <xf numFmtId="0" fontId="49" fillId="18" borderId="1" xfId="0" applyFont="1" applyFill="1" applyBorder="1" applyAlignment="1">
      <alignment horizontal="left" vertical="center" wrapText="1"/>
    </xf>
    <xf numFmtId="0" fontId="49" fillId="7" borderId="1" xfId="0" applyFont="1" applyFill="1" applyBorder="1" applyAlignment="1">
      <alignment horizontal="left" vertical="center" wrapText="1"/>
    </xf>
    <xf numFmtId="0" fontId="51" fillId="2" borderId="1" xfId="0" applyFont="1" applyFill="1" applyBorder="1" applyAlignment="1">
      <alignment horizontal="center" vertical="center" wrapText="1"/>
    </xf>
    <xf numFmtId="0" fontId="50" fillId="7" borderId="1" xfId="0" applyFont="1" applyFill="1" applyBorder="1" applyAlignment="1">
      <alignment horizontal="center" vertical="center" wrapText="1"/>
    </xf>
    <xf numFmtId="0" fontId="50" fillId="18" borderId="1" xfId="0" applyFont="1" applyFill="1" applyBorder="1" applyAlignment="1">
      <alignment horizontal="center" vertical="center" wrapText="1"/>
    </xf>
    <xf numFmtId="0" fontId="53" fillId="11" borderId="1" xfId="0" applyFont="1" applyFill="1" applyBorder="1" applyAlignment="1">
      <alignment horizontal="left" vertical="center" wrapText="1"/>
    </xf>
    <xf numFmtId="0" fontId="50" fillId="11" borderId="1" xfId="0" applyFont="1" applyFill="1" applyBorder="1" applyAlignment="1">
      <alignment horizontal="center" vertical="center" wrapText="1"/>
    </xf>
    <xf numFmtId="0" fontId="49" fillId="12" borderId="1" xfId="0" applyFont="1" applyFill="1" applyBorder="1" applyAlignment="1">
      <alignment horizontal="left" vertical="center" wrapText="1"/>
    </xf>
    <xf numFmtId="0" fontId="53" fillId="12" borderId="1" xfId="0" applyFont="1" applyFill="1" applyBorder="1" applyAlignment="1">
      <alignment horizontal="left" vertical="center" wrapText="1"/>
    </xf>
    <xf numFmtId="0" fontId="49" fillId="13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" fontId="55" fillId="30" borderId="1" xfId="0" applyNumberFormat="1" applyFont="1" applyFill="1" applyBorder="1" applyAlignment="1">
      <alignment horizontal="center" vertical="center" wrapText="1"/>
    </xf>
    <xf numFmtId="43" fontId="55" fillId="30" borderId="1" xfId="2" applyFont="1" applyFill="1" applyBorder="1" applyAlignment="1">
      <alignment horizontal="center" vertical="center" wrapText="1"/>
    </xf>
    <xf numFmtId="43" fontId="55" fillId="31" borderId="1" xfId="2" applyFont="1" applyFill="1" applyBorder="1" applyAlignment="1">
      <alignment horizontal="center" vertical="center" wrapText="1"/>
    </xf>
    <xf numFmtId="164" fontId="55" fillId="30" borderId="1" xfId="0" applyNumberFormat="1" applyFont="1" applyFill="1" applyBorder="1" applyAlignment="1">
      <alignment horizontal="center" vertical="center" wrapText="1"/>
    </xf>
    <xf numFmtId="0" fontId="55" fillId="30" borderId="1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horizontal="right" vertical="center" wrapText="1"/>
    </xf>
    <xf numFmtId="0" fontId="33" fillId="2" borderId="0" xfId="0" applyFont="1" applyFill="1" applyAlignment="1">
      <alignment horizontal="left" vertical="center" wrapText="1"/>
    </xf>
    <xf numFmtId="0" fontId="34" fillId="3" borderId="0" xfId="0" applyFont="1" applyFill="1" applyAlignment="1">
      <alignment horizontal="left" vertical="center" wrapText="1"/>
    </xf>
    <xf numFmtId="3" fontId="35" fillId="6" borderId="1" xfId="0" applyNumberFormat="1" applyFont="1" applyFill="1" applyBorder="1" applyAlignment="1">
      <alignment horizontal="center" vertical="center" wrapText="1"/>
    </xf>
    <xf numFmtId="165" fontId="37" fillId="6" borderId="1" xfId="0" applyNumberFormat="1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165" fontId="40" fillId="6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31" fillId="4" borderId="0" xfId="0" applyFont="1" applyFill="1" applyAlignment="1">
      <alignment horizontal="left" vertical="center" wrapText="1"/>
    </xf>
    <xf numFmtId="0" fontId="16" fillId="12" borderId="2" xfId="0" applyFont="1" applyFill="1" applyBorder="1" applyAlignment="1">
      <alignment horizontal="left" vertical="center" wrapText="1"/>
    </xf>
    <xf numFmtId="0" fontId="16" fillId="11" borderId="2" xfId="0" applyFont="1" applyFill="1" applyBorder="1" applyAlignment="1">
      <alignment horizontal="left" vertical="center" wrapText="1"/>
    </xf>
    <xf numFmtId="0" fontId="16" fillId="13" borderId="2" xfId="0" applyFont="1" applyFill="1" applyBorder="1" applyAlignment="1">
      <alignment horizontal="left" vertical="center" wrapText="1"/>
    </xf>
    <xf numFmtId="0" fontId="16" fillId="14" borderId="2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41" fillId="3" borderId="0" xfId="0" applyFont="1" applyFill="1" applyAlignment="1">
      <alignment horizontal="left" vertical="center" wrapText="1"/>
    </xf>
    <xf numFmtId="0" fontId="42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16" fillId="16" borderId="0" xfId="0" applyFont="1" applyFill="1" applyAlignment="1">
      <alignment horizontal="left" vertical="center" wrapText="1"/>
    </xf>
    <xf numFmtId="0" fontId="21" fillId="16" borderId="0" xfId="0" applyFont="1" applyFill="1" applyAlignment="1">
      <alignment horizontal="left" vertical="center" wrapText="1"/>
    </xf>
    <xf numFmtId="0" fontId="27" fillId="16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7" fillId="16" borderId="0" xfId="0" applyFont="1" applyFill="1" applyAlignment="1">
      <alignment vertical="center" wrapText="1"/>
    </xf>
    <xf numFmtId="0" fontId="17" fillId="16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16" fillId="16" borderId="0" xfId="0" applyFont="1" applyFill="1" applyAlignment="1">
      <alignment vertical="center" wrapText="1"/>
    </xf>
    <xf numFmtId="0" fontId="7" fillId="16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vertical="center" wrapText="1"/>
    </xf>
    <xf numFmtId="0" fontId="6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49" fillId="7" borderId="1" xfId="0" applyFont="1" applyFill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3" fillId="13" borderId="0" xfId="0" applyFont="1" applyFill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6" fillId="18" borderId="2" xfId="0" applyFont="1" applyFill="1" applyBorder="1" applyAlignment="1">
      <alignment horizontal="left" vertical="center" wrapText="1"/>
    </xf>
    <xf numFmtId="0" fontId="16" fillId="18" borderId="8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2" borderId="8" xfId="0" applyFont="1" applyFill="1" applyBorder="1" applyAlignment="1">
      <alignment horizontal="left" vertical="center" wrapText="1"/>
    </xf>
    <xf numFmtId="0" fontId="48" fillId="29" borderId="1" xfId="0" applyFont="1" applyFill="1" applyBorder="1" applyAlignment="1">
      <alignment horizontal="left" vertical="center" wrapText="1"/>
    </xf>
    <xf numFmtId="0" fontId="49" fillId="18" borderId="1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16" borderId="2" xfId="0" applyFont="1" applyFill="1" applyBorder="1" applyAlignment="1">
      <alignment horizontal="left" vertical="center" wrapText="1"/>
    </xf>
    <xf numFmtId="0" fontId="16" fillId="16" borderId="7" xfId="0" applyFont="1" applyFill="1" applyBorder="1" applyAlignment="1">
      <alignment horizontal="left" vertical="center" wrapText="1"/>
    </xf>
    <xf numFmtId="0" fontId="16" fillId="16" borderId="8" xfId="0" applyFont="1" applyFill="1" applyBorder="1" applyAlignment="1">
      <alignment horizontal="left" vertical="center" wrapText="1"/>
    </xf>
    <xf numFmtId="0" fontId="16" fillId="16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47" fillId="4" borderId="1" xfId="0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3" fillId="16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8" fillId="4" borderId="3" xfId="0" applyFont="1" applyFill="1" applyBorder="1" applyAlignment="1">
      <alignment vertical="center" wrapText="1"/>
    </xf>
    <xf numFmtId="0" fontId="8" fillId="4" borderId="0" xfId="0" applyFont="1" applyFill="1" applyAlignment="1">
      <alignment vertical="center" wrapText="1"/>
    </xf>
    <xf numFmtId="0" fontId="3" fillId="7" borderId="0" xfId="0" applyFont="1" applyFill="1" applyAlignment="1">
      <alignment vertical="center" wrapText="1"/>
    </xf>
    <xf numFmtId="167" fontId="36" fillId="6" borderId="1" xfId="0" applyNumberFormat="1" applyFont="1" applyFill="1" applyBorder="1" applyAlignment="1">
      <alignment horizontal="center" vertical="center" wrapText="1"/>
    </xf>
    <xf numFmtId="167" fontId="45" fillId="6" borderId="1" xfId="0" applyNumberFormat="1" applyFont="1" applyFill="1" applyBorder="1" applyAlignment="1">
      <alignment horizontal="center" vertical="center" wrapText="1"/>
    </xf>
    <xf numFmtId="170" fontId="3" fillId="11" borderId="1" xfId="1" applyNumberFormat="1" applyFont="1" applyFill="1" applyBorder="1" applyAlignment="1">
      <alignment horizontal="center" vertical="center" wrapText="1"/>
    </xf>
    <xf numFmtId="174" fontId="3" fillId="12" borderId="1" xfId="2" applyNumberFormat="1" applyFont="1" applyFill="1" applyBorder="1" applyAlignment="1">
      <alignment horizontal="right" vertical="center" wrapText="1"/>
    </xf>
    <xf numFmtId="174" fontId="4" fillId="11" borderId="1" xfId="2" applyNumberFormat="1" applyFont="1" applyFill="1" applyBorder="1" applyAlignment="1">
      <alignment horizontal="right" vertical="center" wrapText="1"/>
    </xf>
    <xf numFmtId="174" fontId="3" fillId="13" borderId="1" xfId="2" applyNumberFormat="1" applyFont="1" applyFill="1" applyBorder="1" applyAlignment="1">
      <alignment horizontal="right" vertical="center" wrapText="1"/>
    </xf>
    <xf numFmtId="170" fontId="9" fillId="16" borderId="1" xfId="1" applyNumberFormat="1" applyFont="1" applyFill="1" applyBorder="1" applyAlignment="1">
      <alignment horizontal="right" vertical="center" wrapText="1"/>
    </xf>
    <xf numFmtId="0" fontId="56" fillId="16" borderId="4" xfId="0" applyFont="1" applyFill="1" applyBorder="1" applyAlignment="1">
      <alignment vertical="center" wrapText="1"/>
    </xf>
    <xf numFmtId="40" fontId="55" fillId="28" borderId="0" xfId="2" applyNumberFormat="1" applyFont="1" applyFill="1" applyAlignment="1">
      <alignment horizontal="center" vertical="center" wrapText="1"/>
    </xf>
    <xf numFmtId="40" fontId="7" fillId="16" borderId="0" xfId="0" applyNumberFormat="1" applyFont="1" applyFill="1" applyAlignment="1">
      <alignment horizontal="center" vertical="center" wrapText="1"/>
    </xf>
    <xf numFmtId="40" fontId="52" fillId="7" borderId="1" xfId="0" applyNumberFormat="1" applyFont="1" applyFill="1" applyBorder="1" applyAlignment="1">
      <alignment horizontal="right" vertical="center" wrapText="1"/>
    </xf>
    <xf numFmtId="40" fontId="52" fillId="18" borderId="1" xfId="0" applyNumberFormat="1" applyFont="1" applyFill="1" applyBorder="1" applyAlignment="1">
      <alignment horizontal="right" vertical="center" wrapText="1"/>
    </xf>
    <xf numFmtId="40" fontId="54" fillId="11" borderId="1" xfId="0" applyNumberFormat="1" applyFont="1" applyFill="1" applyBorder="1" applyAlignment="1">
      <alignment horizontal="right" vertical="center" wrapText="1"/>
    </xf>
    <xf numFmtId="40" fontId="3" fillId="7" borderId="1" xfId="0" applyNumberFormat="1" applyFont="1" applyFill="1" applyBorder="1" applyAlignment="1">
      <alignment horizontal="right" vertical="center" wrapText="1"/>
    </xf>
    <xf numFmtId="40" fontId="3" fillId="18" borderId="1" xfId="0" applyNumberFormat="1" applyFont="1" applyFill="1" applyBorder="1" applyAlignment="1">
      <alignment horizontal="right" vertical="center" wrapText="1"/>
    </xf>
    <xf numFmtId="40" fontId="4" fillId="26" borderId="1" xfId="0" applyNumberFormat="1" applyFont="1" applyFill="1" applyBorder="1" applyAlignment="1">
      <alignment horizontal="right" vertical="center" wrapText="1"/>
    </xf>
    <xf numFmtId="9" fontId="49" fillId="7" borderId="1" xfId="1" applyFont="1" applyFill="1" applyBorder="1" applyAlignment="1">
      <alignment horizontal="center" vertical="center" wrapText="1"/>
    </xf>
    <xf numFmtId="9" fontId="49" fillId="18" borderId="1" xfId="1" applyFont="1" applyFill="1" applyBorder="1" applyAlignment="1">
      <alignment horizontal="center" vertical="center" wrapText="1"/>
    </xf>
    <xf numFmtId="9" fontId="3" fillId="18" borderId="1" xfId="1" applyFont="1" applyFill="1" applyBorder="1" applyAlignment="1">
      <alignment horizontal="center" vertical="center" wrapText="1"/>
    </xf>
    <xf numFmtId="9" fontId="3" fillId="7" borderId="1" xfId="1" applyFont="1" applyFill="1" applyBorder="1" applyAlignment="1">
      <alignment horizontal="center" vertical="center" wrapText="1"/>
    </xf>
    <xf numFmtId="40" fontId="4" fillId="27" borderId="1" xfId="0" applyNumberFormat="1" applyFont="1" applyFill="1" applyBorder="1" applyAlignment="1">
      <alignment horizontal="right" vertical="center" wrapText="1"/>
    </xf>
    <xf numFmtId="40" fontId="3" fillId="27" borderId="1" xfId="0" applyNumberFormat="1" applyFont="1" applyFill="1" applyBorder="1" applyAlignment="1">
      <alignment horizontal="right" vertical="center" wrapText="1"/>
    </xf>
    <xf numFmtId="40" fontId="4" fillId="13" borderId="1" xfId="0" applyNumberFormat="1" applyFont="1" applyFill="1" applyBorder="1" applyAlignment="1">
      <alignment horizontal="right" vertical="center" wrapText="1"/>
    </xf>
    <xf numFmtId="40" fontId="3" fillId="13" borderId="1" xfId="0" applyNumberFormat="1" applyFont="1" applyFill="1" applyBorder="1" applyAlignment="1">
      <alignment horizontal="right" vertical="center" wrapText="1"/>
    </xf>
    <xf numFmtId="40" fontId="20" fillId="7" borderId="1" xfId="0" applyNumberFormat="1" applyFont="1" applyFill="1" applyBorder="1" applyAlignment="1">
      <alignment horizontal="right" vertical="center" wrapText="1"/>
    </xf>
    <xf numFmtId="9" fontId="20" fillId="7" borderId="1" xfId="1" applyFont="1" applyFill="1" applyBorder="1" applyAlignment="1">
      <alignment horizontal="center" vertical="center" wrapText="1"/>
    </xf>
    <xf numFmtId="180" fontId="49" fillId="12" borderId="1" xfId="0" applyNumberFormat="1" applyFont="1" applyFill="1" applyBorder="1" applyAlignment="1">
      <alignment horizontal="right" vertical="center" wrapText="1"/>
    </xf>
    <xf numFmtId="180" fontId="52" fillId="12" borderId="1" xfId="0" applyNumberFormat="1" applyFont="1" applyFill="1" applyBorder="1" applyAlignment="1">
      <alignment horizontal="right" vertical="center" wrapText="1"/>
    </xf>
    <xf numFmtId="180" fontId="49" fillId="13" borderId="1" xfId="0" applyNumberFormat="1" applyFont="1" applyFill="1" applyBorder="1" applyAlignment="1">
      <alignment horizontal="right" vertical="center" wrapText="1"/>
    </xf>
    <xf numFmtId="180" fontId="52" fillId="13" borderId="1" xfId="0" applyNumberFormat="1" applyFont="1" applyFill="1" applyBorder="1" applyAlignment="1">
      <alignment horizontal="right" vertical="center" wrapText="1"/>
    </xf>
    <xf numFmtId="167" fontId="49" fillId="12" borderId="1" xfId="0" applyNumberFormat="1" applyFont="1" applyFill="1" applyBorder="1" applyAlignment="1">
      <alignment horizontal="center" vertical="center" wrapText="1"/>
    </xf>
    <xf numFmtId="167" fontId="49" fillId="13" borderId="1" xfId="0" applyNumberFormat="1" applyFont="1" applyFill="1" applyBorder="1" applyAlignment="1">
      <alignment horizontal="center" vertical="center" wrapText="1"/>
    </xf>
    <xf numFmtId="40" fontId="24" fillId="7" borderId="2" xfId="0" applyNumberFormat="1" applyFont="1" applyFill="1" applyBorder="1" applyAlignment="1">
      <alignment horizontal="right" vertical="center" wrapText="1"/>
    </xf>
    <xf numFmtId="40" fontId="24" fillId="7" borderId="7" xfId="0" applyNumberFormat="1" applyFont="1" applyFill="1" applyBorder="1" applyAlignment="1">
      <alignment horizontal="right" vertical="center" wrapText="1"/>
    </xf>
    <xf numFmtId="40" fontId="24" fillId="7" borderId="8" xfId="0" applyNumberFormat="1" applyFont="1" applyFill="1" applyBorder="1" applyAlignment="1">
      <alignment horizontal="right" vertical="center" wrapText="1"/>
    </xf>
    <xf numFmtId="40" fontId="8" fillId="2" borderId="1" xfId="0" applyNumberFormat="1" applyFont="1" applyFill="1" applyBorder="1" applyAlignment="1">
      <alignment horizontal="center" vertical="center" wrapText="1"/>
    </xf>
    <xf numFmtId="40" fontId="13" fillId="18" borderId="1" xfId="0" applyNumberFormat="1" applyFont="1" applyFill="1" applyBorder="1" applyAlignment="1">
      <alignment horizontal="right" vertical="center" wrapText="1"/>
    </xf>
    <xf numFmtId="40" fontId="25" fillId="18" borderId="1" xfId="0" applyNumberFormat="1" applyFont="1" applyFill="1" applyBorder="1" applyAlignment="1">
      <alignment horizontal="right" vertical="center" wrapText="1"/>
    </xf>
    <xf numFmtId="164" fontId="25" fillId="11" borderId="1" xfId="0" applyNumberFormat="1" applyFont="1" applyFill="1" applyBorder="1" applyAlignment="1">
      <alignment horizontal="right" vertical="center" wrapText="1"/>
    </xf>
    <xf numFmtId="164" fontId="25" fillId="12" borderId="1" xfId="0" applyNumberFormat="1" applyFont="1" applyFill="1" applyBorder="1" applyAlignment="1">
      <alignment horizontal="right" vertical="center" wrapText="1"/>
    </xf>
    <xf numFmtId="9" fontId="25" fillId="7" borderId="1" xfId="0" applyNumberFormat="1" applyFont="1" applyFill="1" applyBorder="1" applyAlignment="1">
      <alignment horizontal="right" vertical="center" wrapText="1"/>
    </xf>
    <xf numFmtId="49" fontId="3" fillId="7" borderId="1" xfId="0" applyNumberFormat="1" applyFont="1" applyFill="1" applyBorder="1" applyAlignment="1">
      <alignment horizontal="left" vertical="center" wrapText="1"/>
    </xf>
    <xf numFmtId="9" fontId="24" fillId="7" borderId="1" xfId="1" applyFont="1" applyFill="1" applyBorder="1" applyAlignment="1">
      <alignment horizontal="right" vertical="center" wrapText="1"/>
    </xf>
    <xf numFmtId="9" fontId="3" fillId="12" borderId="1" xfId="1" applyFont="1" applyFill="1" applyBorder="1" applyAlignment="1">
      <alignment horizontal="right" vertical="center" wrapText="1"/>
    </xf>
    <xf numFmtId="9" fontId="3" fillId="11" borderId="1" xfId="1" applyFont="1" applyFill="1" applyBorder="1" applyAlignment="1">
      <alignment horizontal="right" vertical="center" wrapText="1"/>
    </xf>
    <xf numFmtId="9" fontId="4" fillId="13" borderId="1" xfId="1" applyFont="1" applyFill="1" applyBorder="1" applyAlignment="1">
      <alignment horizontal="right" vertical="center" wrapText="1"/>
    </xf>
    <xf numFmtId="43" fontId="12" fillId="11" borderId="1" xfId="2" applyFont="1" applyFill="1" applyBorder="1" applyAlignment="1">
      <alignment horizontal="right" vertical="center" wrapText="1"/>
    </xf>
    <xf numFmtId="9" fontId="4" fillId="11" borderId="1" xfId="1" applyFont="1" applyFill="1" applyBorder="1" applyAlignment="1">
      <alignment horizontal="center" vertical="center" wrapText="1"/>
    </xf>
    <xf numFmtId="9" fontId="13" fillId="18" borderId="1" xfId="1" applyFont="1" applyFill="1" applyBorder="1" applyAlignment="1">
      <alignment horizontal="right" vertical="center" wrapText="1"/>
    </xf>
    <xf numFmtId="0" fontId="22" fillId="0" borderId="2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 wrapText="1"/>
    </xf>
    <xf numFmtId="2" fontId="20" fillId="12" borderId="1" xfId="0" applyNumberFormat="1" applyFont="1" applyFill="1" applyBorder="1" applyAlignment="1">
      <alignment horizontal="center" vertical="center" wrapText="1"/>
    </xf>
    <xf numFmtId="2" fontId="13" fillId="24" borderId="1" xfId="0" applyNumberFormat="1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2" fontId="3" fillId="11" borderId="1" xfId="0" applyNumberFormat="1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2" fontId="3" fillId="13" borderId="1" xfId="0" applyNumberFormat="1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170" fontId="25" fillId="12" borderId="1" xfId="1" applyNumberFormat="1" applyFont="1" applyFill="1" applyBorder="1" applyAlignment="1">
      <alignment horizontal="center" vertical="center" wrapText="1"/>
    </xf>
    <xf numFmtId="2" fontId="18" fillId="12" borderId="1" xfId="0" applyNumberFormat="1" applyFont="1" applyFill="1" applyBorder="1" applyAlignment="1">
      <alignment horizontal="center" vertical="center" wrapText="1"/>
    </xf>
    <xf numFmtId="2" fontId="25" fillId="12" borderId="1" xfId="0" applyNumberFormat="1" applyFont="1" applyFill="1" applyBorder="1" applyAlignment="1">
      <alignment horizontal="center" vertical="center" wrapText="1"/>
    </xf>
    <xf numFmtId="40" fontId="25" fillId="12" borderId="1" xfId="0" applyNumberFormat="1" applyFont="1" applyFill="1" applyBorder="1" applyAlignment="1">
      <alignment horizontal="center" vertical="center" wrapText="1"/>
    </xf>
    <xf numFmtId="170" fontId="25" fillId="11" borderId="1" xfId="1" applyNumberFormat="1" applyFont="1" applyFill="1" applyBorder="1" applyAlignment="1">
      <alignment horizontal="center" vertical="center" wrapText="1"/>
    </xf>
    <xf numFmtId="2" fontId="25" fillId="11" borderId="1" xfId="0" applyNumberFormat="1" applyFont="1" applyFill="1" applyBorder="1" applyAlignment="1">
      <alignment horizontal="center" vertical="center" wrapText="1"/>
    </xf>
    <xf numFmtId="40" fontId="3" fillId="11" borderId="1" xfId="0" applyNumberFormat="1" applyFont="1" applyFill="1" applyBorder="1" applyAlignment="1">
      <alignment horizontal="center" vertical="center" wrapText="1"/>
    </xf>
    <xf numFmtId="170" fontId="3" fillId="13" borderId="1" xfId="1" applyNumberFormat="1" applyFont="1" applyFill="1" applyBorder="1" applyAlignment="1">
      <alignment horizontal="center" vertical="center" wrapText="1"/>
    </xf>
    <xf numFmtId="40" fontId="3" fillId="13" borderId="1" xfId="0" applyNumberFormat="1" applyFont="1" applyFill="1" applyBorder="1" applyAlignment="1">
      <alignment horizontal="center" vertical="center" wrapText="1"/>
    </xf>
    <xf numFmtId="0" fontId="21" fillId="16" borderId="4" xfId="0" applyFont="1" applyFill="1" applyBorder="1" applyAlignment="1">
      <alignment vertical="center" wrapText="1"/>
    </xf>
    <xf numFmtId="0" fontId="16" fillId="16" borderId="6" xfId="0" applyFont="1" applyFill="1" applyBorder="1" applyAlignment="1">
      <alignment horizontal="left" vertical="center" wrapText="1"/>
    </xf>
    <xf numFmtId="0" fontId="16" fillId="16" borderId="5" xfId="0" applyFont="1" applyFill="1" applyBorder="1" applyAlignment="1">
      <alignment horizontal="left" vertical="center" wrapText="1"/>
    </xf>
    <xf numFmtId="0" fontId="16" fillId="16" borderId="10" xfId="0" applyFont="1" applyFill="1" applyBorder="1" applyAlignment="1">
      <alignment horizontal="left" vertical="center" wrapText="1"/>
    </xf>
    <xf numFmtId="39" fontId="7" fillId="16" borderId="0" xfId="0" applyNumberFormat="1" applyFont="1" applyFill="1" applyAlignment="1">
      <alignment vertical="center" wrapText="1"/>
    </xf>
    <xf numFmtId="170" fontId="7" fillId="0" borderId="0" xfId="0" applyNumberFormat="1" applyFont="1" applyAlignment="1">
      <alignment vertical="center" wrapText="1"/>
    </xf>
    <xf numFmtId="0" fontId="13" fillId="13" borderId="0" xfId="0" applyFont="1" applyFill="1" applyAlignment="1">
      <alignment horizontal="center" vertical="center" wrapText="1"/>
    </xf>
    <xf numFmtId="0" fontId="4" fillId="19" borderId="3" xfId="0" applyFont="1" applyFill="1" applyBorder="1" applyAlignment="1">
      <alignment horizontal="right" vertical="center" wrapText="1"/>
    </xf>
  </cellXfs>
  <cellStyles count="3">
    <cellStyle name="Comma" xfId="2" builtinId="3"/>
    <cellStyle name="Normal" xfId="0" builtinId="0"/>
    <cellStyle name="Percent" xfId="1" builtinId="5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B6CA8"/>
      <rgbColor rgb="FFBFBFBF"/>
      <rgbColor rgb="FF808080"/>
      <rgbColor rgb="FF9999FF"/>
      <rgbColor rgb="FF993366"/>
      <rgbColor rgb="FFF5F1EB"/>
      <rgbColor rgb="FFDCE6F1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1F7145"/>
      <rgbColor rgb="FF0000FF"/>
      <rgbColor rgb="FF00CCFF"/>
      <rgbColor rgb="FFF2F2F2"/>
      <rgbColor rgb="FFE2EFDA"/>
      <rgbColor rgb="FFFFE0E0"/>
      <rgbColor rgb="FFA8C4DC"/>
      <rgbColor rgb="FFFF99CC"/>
      <rgbColor rgb="FFCC99FF"/>
      <rgbColor rgb="FFFCE4D6"/>
      <rgbColor rgb="FF3366FF"/>
      <rgbColor rgb="FF33CCCC"/>
      <rgbColor rgb="FF99CC00"/>
      <rgbColor rgb="FFFFCC00"/>
      <rgbColor rgb="FFD4850A"/>
      <rgbColor rgb="FFFF6600"/>
      <rgbColor rgb="FF5B4A8A"/>
      <rgbColor rgb="FF969696"/>
      <rgbColor rgb="FF0D2137"/>
      <rgbColor rgb="FF339966"/>
      <rgbColor rgb="FF003300"/>
      <rgbColor rgb="FF333300"/>
      <rgbColor rgb="FF993300"/>
      <rgbColor rgb="FF993366"/>
      <rgbColor rgb="FF333399"/>
      <rgbColor rgb="FF59595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4850A"/>
  </sheetPr>
  <dimension ref="A1:O32"/>
  <sheetViews>
    <sheetView showGridLines="0" tabSelected="1" zoomScale="92" zoomScaleNormal="100" workbookViewId="0">
      <selection activeCell="I29" sqref="I29"/>
    </sheetView>
  </sheetViews>
  <sheetFormatPr baseColWidth="10" defaultColWidth="8.6640625" defaultRowHeight="14" x14ac:dyDescent="0.2"/>
  <cols>
    <col min="1" max="1" width="5" style="10" customWidth="1"/>
    <col min="2" max="2" width="1.6640625" style="12" customWidth="1"/>
    <col min="3" max="3" width="22" style="12" customWidth="1"/>
    <col min="4" max="6" width="14" style="12" customWidth="1"/>
    <col min="7" max="7" width="4.33203125" style="12" customWidth="1"/>
    <col min="8" max="8" width="17.6640625" style="12" bestFit="1" customWidth="1"/>
    <col min="9" max="9" width="19.1640625" style="12" customWidth="1"/>
    <col min="10" max="10" width="14" style="12" customWidth="1"/>
    <col min="11" max="11" width="2" style="12" customWidth="1"/>
    <col min="12" max="12" width="22" style="12" customWidth="1"/>
    <col min="13" max="14" width="14" style="12" customWidth="1"/>
    <col min="15" max="15" width="6.5" style="12" customWidth="1"/>
    <col min="16" max="16384" width="8.6640625" style="12"/>
  </cols>
  <sheetData>
    <row r="1" spans="1:15" ht="27.75" customHeight="1" x14ac:dyDescent="0.2">
      <c r="A1" s="134"/>
      <c r="B1" s="135"/>
      <c r="C1" s="228" t="s">
        <v>365</v>
      </c>
      <c r="D1" s="228"/>
      <c r="E1" s="228"/>
      <c r="F1" s="228"/>
      <c r="G1" s="228"/>
      <c r="H1" s="228"/>
      <c r="I1" s="228"/>
      <c r="J1" s="228"/>
      <c r="K1" s="229" t="s">
        <v>0</v>
      </c>
      <c r="L1" s="229"/>
      <c r="M1" s="229"/>
      <c r="N1" s="229"/>
      <c r="O1" s="229"/>
    </row>
    <row r="2" spans="1:15" ht="18" customHeight="1" x14ac:dyDescent="0.2">
      <c r="A2" s="134"/>
      <c r="B2" s="135"/>
      <c r="C2" s="230" t="s">
        <v>1</v>
      </c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</row>
    <row r="3" spans="1:15" x14ac:dyDescent="0.2">
      <c r="A3" s="136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</row>
    <row r="4" spans="1:15" ht="19.5" customHeight="1" x14ac:dyDescent="0.2">
      <c r="A4" s="136"/>
      <c r="B4" s="137"/>
      <c r="C4" s="231" t="s">
        <v>366</v>
      </c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</row>
    <row r="5" spans="1:15" ht="6" customHeight="1" x14ac:dyDescent="0.2">
      <c r="C5" s="138"/>
      <c r="D5" s="138"/>
      <c r="H5" s="139"/>
      <c r="I5" s="195"/>
      <c r="L5" s="135"/>
      <c r="M5" s="135"/>
    </row>
    <row r="6" spans="1:15" ht="31.5" customHeight="1" x14ac:dyDescent="0.2">
      <c r="C6" s="232">
        <f>+'4 Receitas Fiscais'!G40</f>
        <v>4027.8780926878621</v>
      </c>
      <c r="D6" s="232"/>
      <c r="H6" s="308">
        <f>'7 Resumo Validação'!C13</f>
        <v>0.10076458859623318</v>
      </c>
      <c r="I6" s="309">
        <f>+'6 Resumo'!C13</f>
        <v>0.38024373055182309</v>
      </c>
      <c r="L6" s="233">
        <f>'7 Resumo Validação'!C14</f>
        <v>149.18067009955044</v>
      </c>
      <c r="M6" s="233"/>
    </row>
    <row r="7" spans="1:15" ht="13.5" customHeight="1" x14ac:dyDescent="0.2">
      <c r="C7" s="234" t="s">
        <v>2</v>
      </c>
      <c r="D7" s="234"/>
      <c r="H7" s="190" t="s">
        <v>3</v>
      </c>
      <c r="I7" s="194" t="s">
        <v>458</v>
      </c>
      <c r="L7" s="234" t="s">
        <v>4</v>
      </c>
      <c r="M7" s="234"/>
    </row>
    <row r="8" spans="1:15" ht="27" customHeight="1" x14ac:dyDescent="0.2">
      <c r="C8" s="235" t="s">
        <v>5</v>
      </c>
      <c r="D8" s="235"/>
      <c r="H8" s="191" t="s">
        <v>6</v>
      </c>
      <c r="I8" s="196" t="s">
        <v>459</v>
      </c>
      <c r="L8" s="236" t="s">
        <v>7</v>
      </c>
      <c r="M8" s="236"/>
    </row>
    <row r="9" spans="1:15" ht="15.75" customHeight="1" x14ac:dyDescent="0.2">
      <c r="C9" s="237" t="s">
        <v>8</v>
      </c>
      <c r="D9" s="237"/>
      <c r="E9" s="117"/>
      <c r="F9" s="117"/>
      <c r="G9" s="117"/>
      <c r="H9" s="237" t="s">
        <v>433</v>
      </c>
      <c r="I9" s="237"/>
      <c r="J9" s="117"/>
      <c r="K9" s="117"/>
      <c r="L9" s="237" t="s">
        <v>9</v>
      </c>
      <c r="M9" s="237"/>
    </row>
    <row r="10" spans="1:15" ht="6" customHeight="1" x14ac:dyDescent="0.2">
      <c r="C10" s="140"/>
      <c r="D10" s="140"/>
      <c r="E10" s="117"/>
      <c r="H10" s="141"/>
      <c r="I10" s="141"/>
      <c r="L10" s="142"/>
      <c r="M10" s="142"/>
    </row>
    <row r="11" spans="1:15" ht="31.5" customHeight="1" x14ac:dyDescent="0.2">
      <c r="C11" s="192">
        <f>'4 Receitas Fiscais'!E40</f>
        <v>1346.5872014246004</v>
      </c>
      <c r="D11" s="193">
        <f>+C11/C6</f>
        <v>0.33431677186784048</v>
      </c>
      <c r="E11" s="117"/>
      <c r="H11" s="238" cm="1">
        <f t="array" ref="H11">INDEX(_xlfn._xlws.FILTER('5 Analise ENH'!B4:B30, '5 Analise ENH'!I4:I30&lt;&gt;0), 1)</f>
        <v>2033</v>
      </c>
      <c r="I11" s="238"/>
      <c r="L11" s="239">
        <f>'5 Analise ENH'!J30</f>
        <v>1788.2872515120914</v>
      </c>
      <c r="M11" s="239"/>
    </row>
    <row r="12" spans="1:15" ht="14" customHeight="1" x14ac:dyDescent="0.2">
      <c r="C12" s="190" t="s">
        <v>2</v>
      </c>
      <c r="D12" s="190" t="s">
        <v>434</v>
      </c>
      <c r="E12" s="117"/>
      <c r="H12" s="234" t="s">
        <v>367</v>
      </c>
      <c r="I12" s="234"/>
      <c r="L12" s="234" t="s">
        <v>10</v>
      </c>
      <c r="M12" s="234"/>
    </row>
    <row r="13" spans="1:15" ht="35" customHeight="1" x14ac:dyDescent="0.2">
      <c r="C13" s="240" t="s">
        <v>11</v>
      </c>
      <c r="D13" s="240"/>
      <c r="H13" s="241" t="s">
        <v>12</v>
      </c>
      <c r="I13" s="241"/>
      <c r="L13" s="242" t="s">
        <v>13</v>
      </c>
      <c r="M13" s="242"/>
    </row>
    <row r="14" spans="1:15" s="117" customFormat="1" ht="15.75" customHeight="1" x14ac:dyDescent="0.2">
      <c r="A14" s="116"/>
      <c r="C14" s="237" t="s">
        <v>14</v>
      </c>
      <c r="D14" s="237"/>
      <c r="H14" s="237" t="s">
        <v>15</v>
      </c>
      <c r="I14" s="237"/>
      <c r="L14" s="237" t="s">
        <v>454</v>
      </c>
      <c r="M14" s="237"/>
    </row>
    <row r="15" spans="1:15" ht="7.5" customHeight="1" x14ac:dyDescent="0.2">
      <c r="A15" s="136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</row>
    <row r="16" spans="1:15" ht="15" customHeight="1" x14ac:dyDescent="0.2">
      <c r="C16" s="243" t="s">
        <v>368</v>
      </c>
      <c r="D16" s="243"/>
      <c r="E16" s="243"/>
      <c r="F16" s="143"/>
      <c r="H16" s="243" t="s">
        <v>16</v>
      </c>
      <c r="I16" s="243"/>
      <c r="J16" s="243"/>
      <c r="L16" s="243" t="s">
        <v>17</v>
      </c>
      <c r="M16" s="243"/>
      <c r="N16" s="243"/>
      <c r="O16" s="243"/>
    </row>
    <row r="17" spans="1:15" ht="30" x14ac:dyDescent="0.2">
      <c r="C17" s="11" t="s">
        <v>18</v>
      </c>
      <c r="D17" s="11" t="s">
        <v>369</v>
      </c>
      <c r="E17" s="7" t="s">
        <v>19</v>
      </c>
      <c r="F17" s="11" t="s">
        <v>198</v>
      </c>
      <c r="H17" s="11" t="s">
        <v>20</v>
      </c>
      <c r="I17" s="11" t="s">
        <v>21</v>
      </c>
      <c r="J17" s="11" t="s">
        <v>22</v>
      </c>
      <c r="L17" s="11" t="s">
        <v>23</v>
      </c>
      <c r="M17" s="236" t="s">
        <v>24</v>
      </c>
      <c r="N17" s="236"/>
      <c r="O17" s="236"/>
    </row>
    <row r="18" spans="1:15" ht="15" customHeight="1" x14ac:dyDescent="0.2">
      <c r="C18" s="24">
        <v>2022</v>
      </c>
      <c r="D18" s="26">
        <f>+'4 Receitas Fiscais'!C8</f>
        <v>0.79700000000000004</v>
      </c>
      <c r="E18" s="147">
        <f>+'4 Receitas Fiscais'!G13</f>
        <v>0.79601759999999999</v>
      </c>
      <c r="F18" s="310">
        <f>E18/D18-1</f>
        <v>-1.232622333751654E-3</v>
      </c>
      <c r="H18" s="20" t="s">
        <v>25</v>
      </c>
      <c r="I18" s="144">
        <f>+'4 Receitas Fiscais'!C43</f>
        <v>799.4630154900334</v>
      </c>
      <c r="J18" s="145">
        <f>+'4 Receitas Fiscais'!D43</f>
        <v>0.19848242600523694</v>
      </c>
      <c r="L18" s="20" t="s">
        <v>96</v>
      </c>
      <c r="M18" s="146">
        <f>SUMIF('4 Receitas Fiscais'!$H$13:$H$39,"Ramp-up",'4 Receitas Fiscais'!$G$13:$G$39)/'4 Receitas Fiscais'!$G$40</f>
        <v>1.8860744692202173E-2</v>
      </c>
      <c r="N18" s="244" t="s">
        <v>418</v>
      </c>
      <c r="O18" s="244"/>
    </row>
    <row r="19" spans="1:15" ht="15" customHeight="1" x14ac:dyDescent="0.2">
      <c r="C19" s="24">
        <v>2023</v>
      </c>
      <c r="D19" s="26">
        <f>+'4 Receitas Fiscais'!D8</f>
        <v>73.367999999999995</v>
      </c>
      <c r="E19" s="147">
        <f>+'4 Receitas Fiscais'!G14</f>
        <v>75.17276275750001</v>
      </c>
      <c r="F19" s="310">
        <f>E19/D19-1</f>
        <v>2.4598772727892459E-2</v>
      </c>
      <c r="H19" s="25" t="s">
        <v>26</v>
      </c>
      <c r="I19" s="147">
        <f>+'4 Receitas Fiscais'!C44</f>
        <v>1874.827875773228</v>
      </c>
      <c r="J19" s="148">
        <f>+'4 Receitas Fiscais'!D44</f>
        <v>0.46546291437587378</v>
      </c>
      <c r="L19" s="25" t="s">
        <v>419</v>
      </c>
      <c r="M19" s="149">
        <f>SUMIF('4 Receitas Fiscais'!$H$13:$H$39,"Platô",'4 Receitas Fiscais'!$G$13:$G$39)/'4 Receitas Fiscais'!$G$40</f>
        <v>0.28886900334179189</v>
      </c>
      <c r="N19" s="245" t="s">
        <v>569</v>
      </c>
      <c r="O19" s="245"/>
    </row>
    <row r="20" spans="1:15" ht="15" customHeight="1" x14ac:dyDescent="0.2">
      <c r="C20" s="24">
        <v>2024</v>
      </c>
      <c r="D20" s="26">
        <f>+'4 Receitas Fiscais'!E8</f>
        <v>90.52</v>
      </c>
      <c r="E20" s="147">
        <f>+'4 Receitas Fiscais'!G15</f>
        <v>98.821281470000002</v>
      </c>
      <c r="F20" s="310">
        <f>E20/D20-1</f>
        <v>9.1706600419796835E-2</v>
      </c>
      <c r="H20" s="30" t="s">
        <v>27</v>
      </c>
      <c r="I20" s="150">
        <f>+'4 Receitas Fiscais'!C45</f>
        <v>1346.5872014246004</v>
      </c>
      <c r="J20" s="151">
        <f>+'4 Receitas Fiscais'!D45</f>
        <v>0.33431677186784048</v>
      </c>
      <c r="L20" s="30" t="s">
        <v>28</v>
      </c>
      <c r="M20" s="152">
        <f>SUMIF('4 Receitas Fiscais'!$H$13:$H$39,"Declínio",'4 Receitas Fiscais'!$G$13:$G$39)/'4 Receitas Fiscais'!$G$40</f>
        <v>0.69227025196600589</v>
      </c>
      <c r="N20" s="246" t="s">
        <v>464</v>
      </c>
      <c r="O20" s="246"/>
    </row>
    <row r="21" spans="1:15" ht="15" customHeight="1" x14ac:dyDescent="0.2">
      <c r="C21" s="24">
        <v>2025</v>
      </c>
      <c r="D21" s="26">
        <f>+'4 Receitas Fiscais'!F8</f>
        <v>88.13</v>
      </c>
      <c r="E21" s="147">
        <f>+'4 Receitas Fiscais'!G16</f>
        <v>89.911173555000019</v>
      </c>
      <c r="F21" s="310">
        <f>E21/D21-1</f>
        <v>2.021075178713283E-2</v>
      </c>
      <c r="H21" s="89" t="s">
        <v>29</v>
      </c>
      <c r="I21" s="153">
        <f>+'4 Receitas Fiscais'!C46</f>
        <v>7</v>
      </c>
      <c r="J21" s="154">
        <f>+'4 Receitas Fiscais'!D46</f>
        <v>1.7378877510487907E-3</v>
      </c>
      <c r="L21" s="155" t="s">
        <v>570</v>
      </c>
      <c r="M21" s="156" t="s">
        <v>30</v>
      </c>
      <c r="N21" s="247" t="s">
        <v>31</v>
      </c>
      <c r="O21" s="247"/>
    </row>
    <row r="22" spans="1:15" ht="15" customHeight="1" x14ac:dyDescent="0.2">
      <c r="C22" s="47" t="s">
        <v>461</v>
      </c>
      <c r="D22" s="157">
        <f>+AVERAGE(D18:D21)</f>
        <v>63.203749999999999</v>
      </c>
      <c r="E22" s="157">
        <f>+AVERAGE(E18:E21)</f>
        <v>66.175308845625011</v>
      </c>
      <c r="F22" s="204">
        <f>+AVERAGE(F18:F21)</f>
        <v>3.3820875650267618E-2</v>
      </c>
      <c r="H22" s="47" t="s">
        <v>32</v>
      </c>
      <c r="I22" s="157">
        <f>SUM(I18:I21)</f>
        <v>4027.8780926878617</v>
      </c>
      <c r="J22" s="158">
        <f>SUM(J18:J21)</f>
        <v>1</v>
      </c>
      <c r="L22" s="25" t="s">
        <v>33</v>
      </c>
      <c r="M22" s="159">
        <f>+'6 Resumo'!C15</f>
        <v>2033</v>
      </c>
      <c r="N22" s="245" t="s">
        <v>34</v>
      </c>
      <c r="O22" s="245"/>
    </row>
    <row r="23" spans="1:15" ht="29" customHeight="1" x14ac:dyDescent="0.2">
      <c r="C23" s="248"/>
      <c r="D23" s="248"/>
      <c r="E23" s="248"/>
      <c r="F23" s="160"/>
      <c r="L23" s="30" t="s">
        <v>35</v>
      </c>
      <c r="M23" s="161">
        <f>INDEX('4 Receitas Fiscais'!B13:B39,MATCH(MAX('4 Receitas Fiscais'!E13:E39),'4 Receitas Fiscais'!E13:E39,0))</f>
        <v>2034</v>
      </c>
      <c r="N23" s="246" t="s">
        <v>571</v>
      </c>
      <c r="O23" s="246"/>
    </row>
    <row r="25" spans="1:15" ht="19.5" customHeight="1" x14ac:dyDescent="0.2">
      <c r="A25" s="136"/>
      <c r="B25" s="137"/>
      <c r="C25" s="249" t="s">
        <v>370</v>
      </c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</row>
    <row r="26" spans="1:15" ht="15" customHeight="1" x14ac:dyDescent="0.2">
      <c r="C26" s="11" t="s">
        <v>36</v>
      </c>
      <c r="D26" s="11" t="s">
        <v>37</v>
      </c>
      <c r="E26" s="236" t="s">
        <v>38</v>
      </c>
      <c r="F26" s="236"/>
      <c r="G26" s="236"/>
      <c r="H26" s="11" t="s">
        <v>39</v>
      </c>
    </row>
    <row r="27" spans="1:15" ht="15" customHeight="1" x14ac:dyDescent="0.2">
      <c r="C27" s="20" t="s">
        <v>40</v>
      </c>
      <c r="D27" s="105">
        <v>8</v>
      </c>
      <c r="E27" s="311">
        <f>+'6 Resumo'!D21</f>
        <v>1456.1</v>
      </c>
      <c r="F27" s="311"/>
      <c r="G27" s="311"/>
      <c r="H27" s="162">
        <f>+'6 Resumo'!F21</f>
        <v>-0.6384945208139795</v>
      </c>
    </row>
    <row r="28" spans="1:15" ht="15" customHeight="1" x14ac:dyDescent="0.2">
      <c r="C28" s="163" t="s">
        <v>41</v>
      </c>
      <c r="D28" s="354">
        <v>12</v>
      </c>
      <c r="E28" s="312">
        <f>+'6 Resumo'!D22</f>
        <v>4027.8780926878621</v>
      </c>
      <c r="F28" s="312"/>
      <c r="G28" s="312"/>
      <c r="H28" s="355">
        <f>+'6 Resumo'!F22</f>
        <v>0</v>
      </c>
    </row>
    <row r="29" spans="1:15" ht="15" customHeight="1" x14ac:dyDescent="0.2">
      <c r="C29" s="30" t="s">
        <v>42</v>
      </c>
      <c r="D29" s="164">
        <v>16</v>
      </c>
      <c r="E29" s="313">
        <f>+'6 Resumo'!D23</f>
        <v>11355.2</v>
      </c>
      <c r="F29" s="313"/>
      <c r="G29" s="313"/>
      <c r="H29" s="165">
        <f>+'6 Resumo'!F23</f>
        <v>1.8191518558156039</v>
      </c>
    </row>
    <row r="30" spans="1:15" ht="15" customHeight="1" x14ac:dyDescent="0.2">
      <c r="C30" s="89" t="s">
        <v>43</v>
      </c>
      <c r="D30" s="94" t="s">
        <v>44</v>
      </c>
      <c r="E30" s="340">
        <f>'9 Cenário TE'!F38</f>
        <v>1833.4</v>
      </c>
      <c r="F30" s="341"/>
      <c r="G30" s="342"/>
      <c r="H30" s="327">
        <f>+'6 Resumo'!F24</f>
        <v>-0.83854093278850217</v>
      </c>
    </row>
    <row r="32" spans="1:15" s="117" customFormat="1" ht="15.75" customHeight="1" x14ac:dyDescent="0.2">
      <c r="A32" s="166"/>
      <c r="B32" s="167"/>
      <c r="C32" s="250" t="s">
        <v>371</v>
      </c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</row>
  </sheetData>
  <mergeCells count="41">
    <mergeCell ref="E27:G27"/>
    <mergeCell ref="E28:G28"/>
    <mergeCell ref="E29:G29"/>
    <mergeCell ref="E30:G30"/>
    <mergeCell ref="C32:O32"/>
    <mergeCell ref="N22:O22"/>
    <mergeCell ref="C23:E23"/>
    <mergeCell ref="N23:O23"/>
    <mergeCell ref="C25:O25"/>
    <mergeCell ref="E26:G26"/>
    <mergeCell ref="M17:O17"/>
    <mergeCell ref="N18:O18"/>
    <mergeCell ref="N19:O19"/>
    <mergeCell ref="N20:O20"/>
    <mergeCell ref="N21:O21"/>
    <mergeCell ref="C14:D14"/>
    <mergeCell ref="H14:I14"/>
    <mergeCell ref="L14:M14"/>
    <mergeCell ref="C16:E16"/>
    <mergeCell ref="H16:J16"/>
    <mergeCell ref="L16:O16"/>
    <mergeCell ref="H11:I11"/>
    <mergeCell ref="L11:M11"/>
    <mergeCell ref="H12:I12"/>
    <mergeCell ref="L12:M12"/>
    <mergeCell ref="C13:D13"/>
    <mergeCell ref="H13:I13"/>
    <mergeCell ref="L13:M13"/>
    <mergeCell ref="C7:D7"/>
    <mergeCell ref="L7:M7"/>
    <mergeCell ref="C8:D8"/>
    <mergeCell ref="L8:M8"/>
    <mergeCell ref="C9:D9"/>
    <mergeCell ref="H9:I9"/>
    <mergeCell ref="L9:M9"/>
    <mergeCell ref="C1:J1"/>
    <mergeCell ref="K1:O1"/>
    <mergeCell ref="C2:O2"/>
    <mergeCell ref="C4:O4"/>
    <mergeCell ref="C6:D6"/>
    <mergeCell ref="L6:M6"/>
  </mergeCells>
  <conditionalFormatting sqref="F18:F21">
    <cfRule type="cellIs" dxfId="5" priority="1" operator="lessThan">
      <formula>0</formula>
    </cfRule>
  </conditionalFormatting>
  <conditionalFormatting sqref="H27:H30">
    <cfRule type="cellIs" dxfId="4" priority="2" operator="lessThan">
      <formula>0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05E30-F652-3448-94A5-F4A72BF7E054}">
  <sheetPr>
    <tabColor rgb="FF1B6CA8"/>
  </sheetPr>
  <dimension ref="A1:I49"/>
  <sheetViews>
    <sheetView showGridLines="0" topLeftCell="A14" zoomScaleNormal="100" workbookViewId="0">
      <selection activeCell="O41" sqref="O41"/>
    </sheetView>
  </sheetViews>
  <sheetFormatPr baseColWidth="10" defaultColWidth="8.6640625" defaultRowHeight="14" x14ac:dyDescent="0.2"/>
  <cols>
    <col min="1" max="1" width="7.33203125" style="10" customWidth="1"/>
    <col min="2" max="2" width="36" style="12" customWidth="1"/>
    <col min="3" max="3" width="16.83203125" style="12" customWidth="1"/>
    <col min="4" max="4" width="17.5" style="12" customWidth="1"/>
    <col min="5" max="5" width="15.5" style="12" customWidth="1"/>
    <col min="6" max="6" width="16.1640625" style="12" customWidth="1"/>
    <col min="7" max="7" width="6.6640625" style="12" bestFit="1" customWidth="1"/>
    <col min="8" max="16384" width="8.6640625" style="12"/>
  </cols>
  <sheetData>
    <row r="1" spans="1:6" s="9" customFormat="1" ht="25.5" customHeight="1" x14ac:dyDescent="0.2">
      <c r="A1" s="210"/>
      <c r="B1" s="293" t="s">
        <v>490</v>
      </c>
      <c r="C1" s="293"/>
      <c r="D1" s="293"/>
      <c r="E1" s="293"/>
      <c r="F1" s="293"/>
    </row>
    <row r="3" spans="1:6" s="9" customFormat="1" ht="18" customHeight="1" x14ac:dyDescent="0.2">
      <c r="A3" s="8"/>
      <c r="B3" s="294" t="s">
        <v>491</v>
      </c>
      <c r="C3" s="294"/>
      <c r="D3" s="294"/>
      <c r="E3" s="294"/>
      <c r="F3" s="294"/>
    </row>
    <row r="4" spans="1:6" ht="30" customHeight="1" x14ac:dyDescent="0.2">
      <c r="B4" s="11" t="s">
        <v>23</v>
      </c>
      <c r="C4" s="11" t="s">
        <v>465</v>
      </c>
      <c r="D4" s="11" t="s">
        <v>466</v>
      </c>
      <c r="E4" s="11" t="s">
        <v>467</v>
      </c>
      <c r="F4" s="11" t="s">
        <v>50</v>
      </c>
    </row>
    <row r="5" spans="1:6" ht="15" customHeight="1" x14ac:dyDescent="0.2">
      <c r="B5" s="213" t="s">
        <v>194</v>
      </c>
      <c r="C5" s="318">
        <v>25560.5</v>
      </c>
      <c r="D5" s="318">
        <f>+'7 Resumo Validação'!C11</f>
        <v>39973.150774501686</v>
      </c>
      <c r="E5" s="318">
        <v>56475.4</v>
      </c>
      <c r="F5" s="215" t="s">
        <v>21</v>
      </c>
    </row>
    <row r="6" spans="1:6" ht="15" customHeight="1" x14ac:dyDescent="0.2">
      <c r="B6" s="212" t="s">
        <v>499</v>
      </c>
      <c r="C6" s="319">
        <v>511.2</v>
      </c>
      <c r="D6" s="319">
        <f>+'7 Resumo Validação'!C4</f>
        <v>799.4630154900334</v>
      </c>
      <c r="E6" s="319">
        <v>1129.5</v>
      </c>
      <c r="F6" s="216" t="s">
        <v>21</v>
      </c>
    </row>
    <row r="7" spans="1:6" ht="15" customHeight="1" x14ac:dyDescent="0.2">
      <c r="B7" s="213" t="s">
        <v>26</v>
      </c>
      <c r="C7" s="318">
        <v>937.9</v>
      </c>
      <c r="D7" s="318">
        <f>+'7 Resumo Validação'!C5</f>
        <v>1874.827875773228</v>
      </c>
      <c r="E7" s="318">
        <v>4916.8</v>
      </c>
      <c r="F7" s="215" t="s">
        <v>21</v>
      </c>
    </row>
    <row r="8" spans="1:6" ht="15" customHeight="1" x14ac:dyDescent="0.2">
      <c r="B8" s="212" t="s">
        <v>27</v>
      </c>
      <c r="C8" s="319">
        <v>0</v>
      </c>
      <c r="D8" s="319">
        <f>+'7 Resumo Validação'!C6</f>
        <v>1346.5872014246004</v>
      </c>
      <c r="E8" s="319">
        <v>5301.9</v>
      </c>
      <c r="F8" s="216" t="s">
        <v>21</v>
      </c>
    </row>
    <row r="9" spans="1:6" ht="15" customHeight="1" x14ac:dyDescent="0.2">
      <c r="B9" s="213" t="s">
        <v>29</v>
      </c>
      <c r="C9" s="318">
        <v>7</v>
      </c>
      <c r="D9" s="318">
        <f>+'7 Resumo Validação'!C7</f>
        <v>7</v>
      </c>
      <c r="E9" s="318">
        <v>7</v>
      </c>
      <c r="F9" s="215" t="s">
        <v>21</v>
      </c>
    </row>
    <row r="10" spans="1:6" ht="15" customHeight="1" x14ac:dyDescent="0.2">
      <c r="B10" s="217" t="s">
        <v>462</v>
      </c>
      <c r="C10" s="320">
        <f>SUM(C6:C9)</f>
        <v>1456.1</v>
      </c>
      <c r="D10" s="320">
        <f t="shared" ref="D10:E10" si="0">SUM(D6:D9)</f>
        <v>4027.8780926878617</v>
      </c>
      <c r="E10" s="320">
        <f t="shared" si="0"/>
        <v>11355.2</v>
      </c>
      <c r="F10" s="218" t="s">
        <v>21</v>
      </c>
    </row>
    <row r="11" spans="1:6" ht="15" customHeight="1" x14ac:dyDescent="0.2">
      <c r="B11" s="213" t="s">
        <v>468</v>
      </c>
      <c r="C11" s="324">
        <f>C10/C5</f>
        <v>5.6966804248743175E-2</v>
      </c>
      <c r="D11" s="324">
        <f>D10/D5</f>
        <v>0.10076458859623318</v>
      </c>
      <c r="E11" s="324">
        <f>E10/E5</f>
        <v>0.20106453429280713</v>
      </c>
      <c r="F11" s="215" t="s">
        <v>22</v>
      </c>
    </row>
    <row r="12" spans="1:6" ht="15" customHeight="1" x14ac:dyDescent="0.2">
      <c r="B12" s="212" t="s">
        <v>186</v>
      </c>
      <c r="C12" s="325">
        <f>(C10-$D$10)/$D$10</f>
        <v>-0.6384945208139795</v>
      </c>
      <c r="D12" s="325">
        <v>0</v>
      </c>
      <c r="E12" s="325">
        <f>(E10-$D$10)/$D$10</f>
        <v>1.8191518558156039</v>
      </c>
      <c r="F12" s="216" t="s">
        <v>22</v>
      </c>
    </row>
    <row r="14" spans="1:6" ht="18" customHeight="1" x14ac:dyDescent="0.2">
      <c r="B14" s="295" t="s">
        <v>492</v>
      </c>
      <c r="C14" s="295"/>
      <c r="D14" s="295"/>
      <c r="E14" s="295"/>
      <c r="F14" s="295"/>
    </row>
    <row r="15" spans="1:6" ht="30" x14ac:dyDescent="0.2">
      <c r="B15" s="11" t="s">
        <v>23</v>
      </c>
      <c r="C15" s="11" t="s">
        <v>469</v>
      </c>
      <c r="D15" s="11" t="s">
        <v>470</v>
      </c>
      <c r="E15" s="11" t="s">
        <v>471</v>
      </c>
      <c r="F15" s="11" t="s">
        <v>50</v>
      </c>
    </row>
    <row r="16" spans="1:6" ht="15" customHeight="1" x14ac:dyDescent="0.2">
      <c r="B16" s="89" t="s">
        <v>472</v>
      </c>
      <c r="C16" s="321">
        <v>25555.200000000001</v>
      </c>
      <c r="D16" s="321">
        <v>32207.9</v>
      </c>
      <c r="E16" s="321">
        <v>39387.199999999997</v>
      </c>
      <c r="F16" s="205" t="s">
        <v>21</v>
      </c>
    </row>
    <row r="17" spans="2:8" ht="15" customHeight="1" x14ac:dyDescent="0.2">
      <c r="B17" s="80" t="s">
        <v>473</v>
      </c>
      <c r="C17" s="322">
        <v>511.1</v>
      </c>
      <c r="D17" s="322">
        <v>644.20000000000005</v>
      </c>
      <c r="E17" s="322">
        <v>787.74</v>
      </c>
      <c r="F17" s="206" t="s">
        <v>21</v>
      </c>
    </row>
    <row r="18" spans="2:8" ht="15" customHeight="1" x14ac:dyDescent="0.2">
      <c r="B18" s="89" t="s">
        <v>474</v>
      </c>
      <c r="C18" s="321">
        <v>937.7</v>
      </c>
      <c r="D18" s="321">
        <v>1182.2</v>
      </c>
      <c r="E18" s="321">
        <v>1812.71</v>
      </c>
      <c r="F18" s="205" t="s">
        <v>21</v>
      </c>
    </row>
    <row r="19" spans="2:8" ht="15" customHeight="1" x14ac:dyDescent="0.2">
      <c r="B19" s="80" t="s">
        <v>475</v>
      </c>
      <c r="C19" s="322">
        <v>0</v>
      </c>
      <c r="D19" s="322">
        <v>0</v>
      </c>
      <c r="E19" s="322">
        <v>1289.0999999999999</v>
      </c>
      <c r="F19" s="206" t="s">
        <v>21</v>
      </c>
    </row>
    <row r="20" spans="2:8" ht="15" customHeight="1" x14ac:dyDescent="0.2">
      <c r="B20" s="89" t="s">
        <v>29</v>
      </c>
      <c r="C20" s="321">
        <v>7</v>
      </c>
      <c r="D20" s="321">
        <v>7</v>
      </c>
      <c r="E20" s="321">
        <v>7</v>
      </c>
      <c r="F20" s="205" t="s">
        <v>21</v>
      </c>
    </row>
    <row r="21" spans="2:8" ht="15" customHeight="1" x14ac:dyDescent="0.2">
      <c r="B21" s="207" t="s">
        <v>476</v>
      </c>
      <c r="C21" s="323">
        <f>SUM(C17:C20)</f>
        <v>1455.8000000000002</v>
      </c>
      <c r="D21" s="323">
        <f t="shared" ref="D21:E21" si="1">SUM(D17:D20)</f>
        <v>1833.4</v>
      </c>
      <c r="E21" s="323">
        <f t="shared" si="1"/>
        <v>3896.5499999999997</v>
      </c>
      <c r="F21" s="208" t="s">
        <v>21</v>
      </c>
    </row>
    <row r="22" spans="2:8" ht="15" customHeight="1" x14ac:dyDescent="0.2">
      <c r="B22" s="80" t="s">
        <v>463</v>
      </c>
      <c r="C22" s="326">
        <f>C21/C16</f>
        <v>5.6966879539193598E-2</v>
      </c>
      <c r="D22" s="326">
        <f>D21/D16</f>
        <v>5.6923922391711353E-2</v>
      </c>
      <c r="E22" s="326">
        <f>E21/E16</f>
        <v>9.8929347605313397E-2</v>
      </c>
      <c r="F22" s="206" t="s">
        <v>22</v>
      </c>
    </row>
    <row r="23" spans="2:8" ht="15" customHeight="1" x14ac:dyDescent="0.2">
      <c r="B23" s="89" t="s">
        <v>477</v>
      </c>
      <c r="C23" s="327">
        <f>(C21-$D$10)/$D$10</f>
        <v>-0.63856900171759579</v>
      </c>
      <c r="D23" s="327">
        <f>(D21-$D$10)/$D$10</f>
        <v>-0.54482237103244957</v>
      </c>
      <c r="E23" s="327">
        <f>(E21-$D$10)/$D$10</f>
        <v>-3.2604783378690792E-2</v>
      </c>
      <c r="F23" s="205" t="s">
        <v>22</v>
      </c>
    </row>
    <row r="24" spans="2:8" ht="9.75" customHeight="1" x14ac:dyDescent="0.2"/>
    <row r="25" spans="2:8" ht="18" customHeight="1" x14ac:dyDescent="0.2">
      <c r="B25" s="295" t="s">
        <v>493</v>
      </c>
      <c r="C25" s="295"/>
      <c r="D25" s="295"/>
      <c r="E25" s="295"/>
      <c r="F25" s="295"/>
    </row>
    <row r="26" spans="2:8" ht="21.75" customHeight="1" x14ac:dyDescent="0.2">
      <c r="B26" s="11" t="s">
        <v>478</v>
      </c>
      <c r="C26" s="11" t="s">
        <v>88</v>
      </c>
      <c r="D26" s="11" t="s">
        <v>90</v>
      </c>
      <c r="E26" s="11" t="s">
        <v>91</v>
      </c>
      <c r="F26" s="11" t="s">
        <v>479</v>
      </c>
    </row>
    <row r="27" spans="2:8" ht="15" customHeight="1" x14ac:dyDescent="0.2">
      <c r="B27" s="209" t="s">
        <v>480</v>
      </c>
      <c r="C27" s="328">
        <f>C10</f>
        <v>1456.1</v>
      </c>
      <c r="D27" s="328">
        <f t="shared" ref="D27:E27" si="2">D10</f>
        <v>4027.8780926878617</v>
      </c>
      <c r="E27" s="328">
        <f t="shared" si="2"/>
        <v>11355.2</v>
      </c>
      <c r="F27" s="329">
        <f>+E27-C27</f>
        <v>9899.1</v>
      </c>
      <c r="G27" s="211"/>
    </row>
    <row r="28" spans="2:8" ht="15" customHeight="1" x14ac:dyDescent="0.2">
      <c r="B28" s="93" t="s">
        <v>481</v>
      </c>
      <c r="C28" s="330">
        <f>+C21</f>
        <v>1455.8000000000002</v>
      </c>
      <c r="D28" s="330">
        <f t="shared" ref="D28:E28" si="3">+D21</f>
        <v>1833.4</v>
      </c>
      <c r="E28" s="330">
        <f t="shared" si="3"/>
        <v>3896.5499999999997</v>
      </c>
      <c r="F28" s="331">
        <f t="shared" ref="F28:F30" si="4">+E28-C28</f>
        <v>2440.7499999999995</v>
      </c>
    </row>
    <row r="29" spans="2:8" ht="15" customHeight="1" x14ac:dyDescent="0.2">
      <c r="B29" s="89" t="s">
        <v>482</v>
      </c>
      <c r="C29" s="332">
        <f>+C28-C27</f>
        <v>-0.29999999999972715</v>
      </c>
      <c r="D29" s="332">
        <f t="shared" ref="D29:E29" si="5">+D28-D27</f>
        <v>-2194.4780926878616</v>
      </c>
      <c r="E29" s="332">
        <f t="shared" si="5"/>
        <v>-7458.6500000000015</v>
      </c>
      <c r="F29" s="321">
        <f t="shared" si="4"/>
        <v>-7458.3500000000022</v>
      </c>
    </row>
    <row r="30" spans="2:8" ht="15" customHeight="1" x14ac:dyDescent="0.2">
      <c r="B30" s="89" t="s">
        <v>483</v>
      </c>
      <c r="C30" s="333">
        <f>+C28/C27-1</f>
        <v>-2.0602980564499163E-4</v>
      </c>
      <c r="D30" s="333">
        <f t="shared" ref="D30:E30" si="6">+D28/D27-1</f>
        <v>-0.54482237103244957</v>
      </c>
      <c r="E30" s="333">
        <f t="shared" si="6"/>
        <v>-0.65684884458221782</v>
      </c>
      <c r="F30" s="327">
        <f t="shared" si="4"/>
        <v>-0.65664281477657283</v>
      </c>
    </row>
    <row r="31" spans="2:8" ht="9.75" customHeight="1" x14ac:dyDescent="0.2"/>
    <row r="32" spans="2:8" ht="18" customHeight="1" x14ac:dyDescent="0.2">
      <c r="B32" s="296" t="s">
        <v>512</v>
      </c>
      <c r="C32" s="296"/>
      <c r="D32" s="296"/>
      <c r="E32" s="296"/>
      <c r="F32" s="296"/>
      <c r="G32" s="296"/>
      <c r="H32" s="296"/>
    </row>
    <row r="33" spans="2:9" ht="26" x14ac:dyDescent="0.2">
      <c r="B33" s="214" t="s">
        <v>36</v>
      </c>
      <c r="C33" s="214" t="s">
        <v>500</v>
      </c>
      <c r="D33" s="214" t="s">
        <v>501</v>
      </c>
      <c r="E33" s="214" t="s">
        <v>502</v>
      </c>
      <c r="F33" s="214" t="s">
        <v>503</v>
      </c>
      <c r="G33" s="214" t="s">
        <v>504</v>
      </c>
      <c r="H33" s="214" t="s">
        <v>505</v>
      </c>
    </row>
    <row r="34" spans="2:9" ht="15" customHeight="1" x14ac:dyDescent="0.2">
      <c r="B34" s="219" t="s">
        <v>484</v>
      </c>
      <c r="C34" s="334">
        <f>C5</f>
        <v>25560.5</v>
      </c>
      <c r="D34" s="335">
        <v>18787</v>
      </c>
      <c r="E34" s="334">
        <f>C34-D34</f>
        <v>6773.5</v>
      </c>
      <c r="F34" s="334">
        <f>C10</f>
        <v>1456.1</v>
      </c>
      <c r="G34" s="338">
        <f>F34/C34</f>
        <v>5.6966804248743175E-2</v>
      </c>
      <c r="H34" s="338">
        <f t="shared" ref="H34:H39" si="7">F34/E34</f>
        <v>0.21497010408208458</v>
      </c>
      <c r="I34" s="383"/>
    </row>
    <row r="35" spans="2:9" ht="15" customHeight="1" x14ac:dyDescent="0.2">
      <c r="B35" s="220" t="s">
        <v>485</v>
      </c>
      <c r="C35" s="334">
        <f>D5</f>
        <v>39973.150774501686</v>
      </c>
      <c r="D35" s="335">
        <v>29380.3</v>
      </c>
      <c r="E35" s="334">
        <f>C35-D35</f>
        <v>10592.850774501687</v>
      </c>
      <c r="F35" s="334">
        <f>D10</f>
        <v>4027.8780926878617</v>
      </c>
      <c r="G35" s="338">
        <f>F35/C35</f>
        <v>0.10076458859623318</v>
      </c>
      <c r="H35" s="338">
        <f t="shared" si="7"/>
        <v>0.38024495751261472</v>
      </c>
      <c r="I35" s="383"/>
    </row>
    <row r="36" spans="2:9" ht="15" customHeight="1" x14ac:dyDescent="0.2">
      <c r="B36" s="219" t="s">
        <v>486</v>
      </c>
      <c r="C36" s="334">
        <f>E5</f>
        <v>56475.4</v>
      </c>
      <c r="D36" s="335">
        <v>41509.4</v>
      </c>
      <c r="E36" s="334">
        <f>C36-D36</f>
        <v>14966</v>
      </c>
      <c r="F36" s="334">
        <f>E10</f>
        <v>11355.2</v>
      </c>
      <c r="G36" s="338">
        <f>F36/C36</f>
        <v>0.20106453429280713</v>
      </c>
      <c r="H36" s="338">
        <f t="shared" si="7"/>
        <v>0.75873312842442875</v>
      </c>
    </row>
    <row r="37" spans="2:9" ht="15" customHeight="1" x14ac:dyDescent="0.2">
      <c r="B37" s="221" t="s">
        <v>487</v>
      </c>
      <c r="C37" s="336">
        <f>C16</f>
        <v>25555.200000000001</v>
      </c>
      <c r="D37" s="337">
        <v>19104.8</v>
      </c>
      <c r="E37" s="336">
        <f>C37-D37</f>
        <v>6450.4000000000015</v>
      </c>
      <c r="F37" s="336">
        <f>C21</f>
        <v>1455.8000000000002</v>
      </c>
      <c r="G37" s="339">
        <f>F37/C37</f>
        <v>5.6966879539193598E-2</v>
      </c>
      <c r="H37" s="339">
        <f t="shared" si="7"/>
        <v>0.22569142998883787</v>
      </c>
    </row>
    <row r="38" spans="2:9" ht="15" customHeight="1" x14ac:dyDescent="0.2">
      <c r="B38" s="221" t="s">
        <v>488</v>
      </c>
      <c r="C38" s="336">
        <f>D16</f>
        <v>32207.9</v>
      </c>
      <c r="D38" s="337">
        <v>23680.799999999999</v>
      </c>
      <c r="E38" s="336">
        <f>C38-D38</f>
        <v>8527.1000000000022</v>
      </c>
      <c r="F38" s="336">
        <f>D21</f>
        <v>1833.4</v>
      </c>
      <c r="G38" s="339">
        <f>F38/C38</f>
        <v>5.6923922391711353E-2</v>
      </c>
      <c r="H38" s="339">
        <f t="shared" si="7"/>
        <v>0.21500861957758202</v>
      </c>
    </row>
    <row r="39" spans="2:9" ht="15" customHeight="1" x14ac:dyDescent="0.2">
      <c r="B39" s="221" t="s">
        <v>489</v>
      </c>
      <c r="C39" s="336">
        <f>E16</f>
        <v>39387.199999999997</v>
      </c>
      <c r="D39" s="337">
        <v>25674.7</v>
      </c>
      <c r="E39" s="336">
        <f>C39-D39</f>
        <v>13712.499999999996</v>
      </c>
      <c r="F39" s="336">
        <f>E21</f>
        <v>3896.5499999999997</v>
      </c>
      <c r="G39" s="339">
        <f>F39/C39</f>
        <v>9.8929347605313397E-2</v>
      </c>
      <c r="H39" s="339">
        <f t="shared" si="7"/>
        <v>0.28416043755697362</v>
      </c>
    </row>
    <row r="40" spans="2:9" ht="15" x14ac:dyDescent="0.2">
      <c r="B40" s="222"/>
      <c r="C40" s="222"/>
      <c r="D40" s="222"/>
      <c r="E40" s="222"/>
      <c r="F40" s="222"/>
      <c r="G40" s="222"/>
      <c r="H40" s="222"/>
    </row>
    <row r="41" spans="2:9" ht="15" x14ac:dyDescent="0.2">
      <c r="B41" s="297" t="s">
        <v>187</v>
      </c>
      <c r="C41" s="297"/>
      <c r="D41" s="297"/>
      <c r="E41" s="297"/>
      <c r="F41" s="297"/>
      <c r="G41" s="297"/>
      <c r="H41" s="297"/>
    </row>
    <row r="42" spans="2:9" ht="31" customHeight="1" x14ac:dyDescent="0.2">
      <c r="B42" s="279" t="s">
        <v>506</v>
      </c>
      <c r="C42" s="279"/>
      <c r="D42" s="279"/>
      <c r="E42" s="279"/>
      <c r="F42" s="279"/>
      <c r="G42" s="279"/>
      <c r="H42" s="279"/>
    </row>
    <row r="43" spans="2:9" ht="15" x14ac:dyDescent="0.2">
      <c r="B43" s="268" t="s">
        <v>507</v>
      </c>
      <c r="C43" s="268"/>
      <c r="D43" s="268"/>
      <c r="E43" s="268"/>
      <c r="F43" s="268"/>
      <c r="G43" s="268"/>
      <c r="H43" s="268"/>
    </row>
    <row r="44" spans="2:9" ht="32" customHeight="1" x14ac:dyDescent="0.2">
      <c r="B44" s="279" t="s">
        <v>508</v>
      </c>
      <c r="C44" s="279"/>
      <c r="D44" s="279"/>
      <c r="E44" s="279"/>
      <c r="F44" s="279"/>
      <c r="G44" s="279"/>
      <c r="H44" s="279"/>
    </row>
    <row r="45" spans="2:9" ht="33" customHeight="1" x14ac:dyDescent="0.2">
      <c r="B45" s="268" t="s">
        <v>513</v>
      </c>
      <c r="C45" s="268"/>
      <c r="D45" s="268"/>
      <c r="E45" s="268"/>
      <c r="F45" s="268"/>
      <c r="G45" s="268"/>
      <c r="H45" s="268"/>
    </row>
    <row r="46" spans="2:9" ht="34" customHeight="1" x14ac:dyDescent="0.2">
      <c r="B46" s="279" t="s">
        <v>509</v>
      </c>
      <c r="C46" s="279"/>
      <c r="D46" s="279"/>
      <c r="E46" s="279"/>
      <c r="F46" s="279"/>
      <c r="G46" s="279"/>
      <c r="H46" s="279"/>
    </row>
    <row r="47" spans="2:9" ht="15" x14ac:dyDescent="0.2">
      <c r="B47" s="292" t="s">
        <v>510</v>
      </c>
      <c r="C47" s="292"/>
      <c r="D47" s="292"/>
      <c r="E47" s="292"/>
      <c r="F47" s="292"/>
      <c r="G47" s="292"/>
      <c r="H47" s="268"/>
    </row>
    <row r="48" spans="2:9" ht="15" x14ac:dyDescent="0.2">
      <c r="B48" s="222"/>
      <c r="C48" s="222"/>
      <c r="D48" s="222"/>
      <c r="E48" s="222"/>
      <c r="F48" s="222"/>
      <c r="G48" s="222"/>
      <c r="H48" s="222"/>
    </row>
    <row r="49" spans="2:8" ht="15" x14ac:dyDescent="0.2">
      <c r="B49" s="269" t="s">
        <v>511</v>
      </c>
      <c r="C49" s="269"/>
      <c r="D49" s="269"/>
      <c r="E49" s="269"/>
      <c r="F49" s="269"/>
      <c r="G49" s="269"/>
      <c r="H49" s="269"/>
    </row>
  </sheetData>
  <mergeCells count="13">
    <mergeCell ref="B41:H41"/>
    <mergeCell ref="B1:F1"/>
    <mergeCell ref="B3:F3"/>
    <mergeCell ref="B14:F14"/>
    <mergeCell ref="B25:F25"/>
    <mergeCell ref="B32:H32"/>
    <mergeCell ref="B47:H47"/>
    <mergeCell ref="B49:H49"/>
    <mergeCell ref="B42:H42"/>
    <mergeCell ref="B43:H43"/>
    <mergeCell ref="B44:H44"/>
    <mergeCell ref="B45:H45"/>
    <mergeCell ref="B46:H46"/>
  </mergeCells>
  <conditionalFormatting sqref="C12:E12">
    <cfRule type="cellIs" dxfId="2" priority="3" operator="lessThan">
      <formula>0</formula>
    </cfRule>
  </conditionalFormatting>
  <conditionalFormatting sqref="C22:E23">
    <cfRule type="cellIs" dxfId="1" priority="2" operator="lessThan">
      <formula>0</formula>
    </cfRule>
  </conditionalFormatting>
  <conditionalFormatting sqref="C30:F30">
    <cfRule type="cellIs" dxfId="0" priority="1" operator="lessThan">
      <formula>0</formula>
    </cfRule>
  </conditionalFormatting>
  <pageMargins left="0.75" right="0.75" top="1" bottom="1" header="0.511811023622047" footer="0.511811023622047"/>
  <pageSetup paperSize="9" orientation="portrait" horizontalDpi="300" verticalDpi="300"/>
  <ignoredErrors>
    <ignoredError sqref="C10:E10 C21 D21:E21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595959"/>
  </sheetPr>
  <dimension ref="A1:EG1089"/>
  <sheetViews>
    <sheetView topLeftCell="A46" zoomScale="125" zoomScaleNormal="100" workbookViewId="0">
      <selection activeCell="B46" sqref="B46:G46"/>
    </sheetView>
  </sheetViews>
  <sheetFormatPr baseColWidth="10" defaultColWidth="8.6640625" defaultRowHeight="14" x14ac:dyDescent="0.2"/>
  <cols>
    <col min="1" max="1" width="7.1640625" style="10" customWidth="1"/>
    <col min="2" max="2" width="30.6640625" style="12" customWidth="1"/>
    <col min="3" max="3" width="28.5" style="12" bestFit="1" customWidth="1"/>
    <col min="4" max="4" width="43.83203125" style="12" customWidth="1"/>
    <col min="5" max="5" width="13.33203125" style="12" bestFit="1" customWidth="1"/>
    <col min="6" max="6" width="12.33203125" style="12" bestFit="1" customWidth="1"/>
    <col min="7" max="7" width="39.83203125" style="12" bestFit="1" customWidth="1"/>
    <col min="8" max="8" width="24" style="10" customWidth="1"/>
    <col min="9" max="13" width="8.6640625" style="10"/>
    <col min="14" max="14" width="6.5" style="10" customWidth="1"/>
    <col min="15" max="137" width="8.6640625" style="10"/>
    <col min="138" max="16384" width="8.6640625" style="12"/>
  </cols>
  <sheetData>
    <row r="1" spans="1:137" s="9" customFormat="1" ht="16" x14ac:dyDescent="0.2">
      <c r="A1" s="8"/>
      <c r="B1" s="303" t="s">
        <v>301</v>
      </c>
      <c r="C1" s="303"/>
      <c r="D1" s="303"/>
      <c r="E1" s="303"/>
      <c r="F1" s="303"/>
      <c r="G1" s="303"/>
      <c r="H1" s="34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</row>
    <row r="2" spans="1:137" x14ac:dyDescent="0.2">
      <c r="B2" s="304" t="s">
        <v>387</v>
      </c>
      <c r="C2" s="304"/>
      <c r="D2" s="304"/>
      <c r="E2" s="304"/>
      <c r="F2" s="304"/>
      <c r="G2" s="304"/>
      <c r="H2" s="35"/>
    </row>
    <row r="3" spans="1:137" s="10" customFormat="1" x14ac:dyDescent="0.2"/>
    <row r="4" spans="1:137" x14ac:dyDescent="0.2">
      <c r="B4" s="228" t="s">
        <v>45</v>
      </c>
      <c r="C4" s="228"/>
      <c r="D4" s="228"/>
      <c r="E4" s="228"/>
    </row>
    <row r="5" spans="1:137" s="10" customFormat="1" ht="15" x14ac:dyDescent="0.2">
      <c r="B5" s="36" t="s">
        <v>47</v>
      </c>
      <c r="C5" s="302" t="s">
        <v>372</v>
      </c>
      <c r="D5" s="302"/>
      <c r="E5" s="302"/>
    </row>
    <row r="6" spans="1:137" s="10" customFormat="1" ht="15" x14ac:dyDescent="0.2">
      <c r="B6" s="38" t="s">
        <v>47</v>
      </c>
      <c r="C6" s="302" t="s">
        <v>373</v>
      </c>
      <c r="D6" s="302"/>
      <c r="E6" s="302"/>
    </row>
    <row r="7" spans="1:137" s="10" customFormat="1" ht="15" x14ac:dyDescent="0.2">
      <c r="B7" s="39" t="s">
        <v>47</v>
      </c>
      <c r="C7" s="302" t="s">
        <v>374</v>
      </c>
      <c r="D7" s="302"/>
      <c r="E7" s="302"/>
    </row>
    <row r="8" spans="1:137" x14ac:dyDescent="0.2">
      <c r="B8" s="305" t="s">
        <v>302</v>
      </c>
      <c r="C8" s="305"/>
      <c r="D8" s="305"/>
      <c r="E8" s="305"/>
      <c r="F8" s="305"/>
      <c r="G8" s="305"/>
      <c r="H8" s="40"/>
    </row>
    <row r="9" spans="1:137" ht="30" x14ac:dyDescent="0.2">
      <c r="B9" s="11" t="s">
        <v>303</v>
      </c>
      <c r="C9" s="11" t="s">
        <v>304</v>
      </c>
      <c r="D9" s="11" t="s">
        <v>305</v>
      </c>
      <c r="E9" s="11" t="s">
        <v>86</v>
      </c>
      <c r="F9" s="11" t="s">
        <v>306</v>
      </c>
      <c r="G9" s="11" t="s">
        <v>213</v>
      </c>
    </row>
    <row r="10" spans="1:137" s="10" customFormat="1" ht="30" x14ac:dyDescent="0.2">
      <c r="B10" s="41" t="s">
        <v>214</v>
      </c>
      <c r="C10" s="42" t="s">
        <v>388</v>
      </c>
      <c r="D10" s="2" t="s">
        <v>307</v>
      </c>
      <c r="E10" s="2" t="s">
        <v>308</v>
      </c>
      <c r="F10" s="43" t="s">
        <v>90</v>
      </c>
      <c r="G10" s="44" t="s">
        <v>309</v>
      </c>
    </row>
    <row r="11" spans="1:137" s="10" customFormat="1" ht="30" x14ac:dyDescent="0.2">
      <c r="B11" s="41" t="s">
        <v>310</v>
      </c>
      <c r="C11" s="42" t="s">
        <v>389</v>
      </c>
      <c r="D11" s="2" t="s">
        <v>311</v>
      </c>
      <c r="E11" s="2" t="s">
        <v>308</v>
      </c>
      <c r="F11" s="43" t="s">
        <v>312</v>
      </c>
      <c r="G11" s="44" t="s">
        <v>313</v>
      </c>
    </row>
    <row r="12" spans="1:137" s="10" customFormat="1" ht="30" x14ac:dyDescent="0.2">
      <c r="B12" s="41" t="s">
        <v>314</v>
      </c>
      <c r="C12" s="42" t="s">
        <v>390</v>
      </c>
      <c r="D12" s="2" t="s">
        <v>315</v>
      </c>
      <c r="E12" s="2" t="s">
        <v>308</v>
      </c>
      <c r="F12" s="43" t="s">
        <v>312</v>
      </c>
      <c r="G12" s="44" t="s">
        <v>316</v>
      </c>
    </row>
    <row r="13" spans="1:137" s="10" customFormat="1" ht="30" x14ac:dyDescent="0.2">
      <c r="B13" s="41" t="s">
        <v>317</v>
      </c>
      <c r="C13" s="42" t="s">
        <v>391</v>
      </c>
      <c r="D13" s="2" t="s">
        <v>318</v>
      </c>
      <c r="E13" s="2" t="s">
        <v>308</v>
      </c>
      <c r="F13" s="43" t="s">
        <v>312</v>
      </c>
      <c r="G13" s="44" t="s">
        <v>319</v>
      </c>
    </row>
    <row r="14" spans="1:137" s="10" customFormat="1" ht="30" x14ac:dyDescent="0.2">
      <c r="B14" s="41" t="s">
        <v>320</v>
      </c>
      <c r="C14" s="42" t="s">
        <v>392</v>
      </c>
      <c r="D14" s="2" t="s">
        <v>318</v>
      </c>
      <c r="E14" s="2" t="s">
        <v>308</v>
      </c>
      <c r="F14" s="43" t="s">
        <v>312</v>
      </c>
      <c r="G14" s="44" t="s">
        <v>321</v>
      </c>
    </row>
    <row r="15" spans="1:137" s="10" customFormat="1" ht="15" x14ac:dyDescent="0.2">
      <c r="B15" s="41" t="s">
        <v>322</v>
      </c>
      <c r="C15" s="42" t="s">
        <v>393</v>
      </c>
      <c r="D15" s="2" t="s">
        <v>323</v>
      </c>
      <c r="E15" s="2" t="s">
        <v>308</v>
      </c>
      <c r="F15" s="43" t="s">
        <v>324</v>
      </c>
      <c r="G15" s="44" t="s">
        <v>417</v>
      </c>
    </row>
    <row r="16" spans="1:137" s="10" customFormat="1" ht="30" x14ac:dyDescent="0.2">
      <c r="B16" s="41" t="s">
        <v>325</v>
      </c>
      <c r="C16" s="42" t="s">
        <v>394</v>
      </c>
      <c r="D16" s="2" t="s">
        <v>318</v>
      </c>
      <c r="E16" s="2" t="s">
        <v>308</v>
      </c>
      <c r="F16" s="43" t="s">
        <v>312</v>
      </c>
      <c r="G16" s="44" t="s">
        <v>326</v>
      </c>
    </row>
    <row r="17" spans="2:8" s="10" customFormat="1" ht="30" x14ac:dyDescent="0.2">
      <c r="B17" s="41" t="s">
        <v>327</v>
      </c>
      <c r="C17" s="42" t="s">
        <v>395</v>
      </c>
      <c r="D17" s="2" t="s">
        <v>328</v>
      </c>
      <c r="E17" s="2" t="s">
        <v>329</v>
      </c>
      <c r="F17" s="43" t="s">
        <v>330</v>
      </c>
      <c r="G17" s="44" t="s">
        <v>331</v>
      </c>
    </row>
    <row r="18" spans="2:8" s="10" customFormat="1" x14ac:dyDescent="0.2"/>
    <row r="19" spans="2:8" x14ac:dyDescent="0.2">
      <c r="B19" s="306" t="s">
        <v>536</v>
      </c>
      <c r="C19" s="306"/>
      <c r="D19" s="306"/>
      <c r="E19" s="306"/>
      <c r="F19" s="306"/>
      <c r="G19" s="306"/>
      <c r="H19" s="40"/>
    </row>
    <row r="20" spans="2:8" ht="30" x14ac:dyDescent="0.2">
      <c r="B20" s="47" t="s">
        <v>332</v>
      </c>
      <c r="C20" s="47" t="s">
        <v>333</v>
      </c>
      <c r="D20" s="47" t="s">
        <v>334</v>
      </c>
      <c r="E20" s="47" t="s">
        <v>335</v>
      </c>
      <c r="F20" s="236" t="s">
        <v>336</v>
      </c>
      <c r="G20" s="236"/>
    </row>
    <row r="21" spans="2:8" s="10" customFormat="1" ht="15" x14ac:dyDescent="0.2">
      <c r="B21" s="48" t="s">
        <v>337</v>
      </c>
      <c r="C21" s="49" t="s">
        <v>338</v>
      </c>
      <c r="D21" s="2" t="s">
        <v>214</v>
      </c>
      <c r="E21" s="2" t="s">
        <v>339</v>
      </c>
      <c r="F21" s="288" t="s">
        <v>340</v>
      </c>
      <c r="G21" s="288"/>
    </row>
    <row r="22" spans="2:8" s="10" customFormat="1" ht="15" x14ac:dyDescent="0.2">
      <c r="B22" s="48" t="s">
        <v>337</v>
      </c>
      <c r="C22" s="49" t="s">
        <v>341</v>
      </c>
      <c r="D22" s="2" t="s">
        <v>342</v>
      </c>
      <c r="E22" s="2" t="s">
        <v>339</v>
      </c>
      <c r="F22" s="288" t="s">
        <v>343</v>
      </c>
      <c r="G22" s="288"/>
    </row>
    <row r="23" spans="2:8" s="10" customFormat="1" ht="15" x14ac:dyDescent="0.2">
      <c r="B23" s="48" t="s">
        <v>337</v>
      </c>
      <c r="C23" s="49" t="s">
        <v>344</v>
      </c>
      <c r="D23" s="2" t="s">
        <v>345</v>
      </c>
      <c r="E23" s="2" t="s">
        <v>339</v>
      </c>
      <c r="F23" s="288" t="s">
        <v>346</v>
      </c>
      <c r="G23" s="288"/>
    </row>
    <row r="24" spans="2:8" s="10" customFormat="1" ht="15" x14ac:dyDescent="0.2">
      <c r="B24" s="48" t="s">
        <v>337</v>
      </c>
      <c r="C24" s="49" t="s">
        <v>347</v>
      </c>
      <c r="D24" s="2" t="s">
        <v>348</v>
      </c>
      <c r="E24" s="2" t="s">
        <v>339</v>
      </c>
      <c r="F24" s="288" t="s">
        <v>349</v>
      </c>
      <c r="G24" s="288"/>
    </row>
    <row r="25" spans="2:8" s="10" customFormat="1" ht="15" x14ac:dyDescent="0.2">
      <c r="B25" s="48" t="s">
        <v>350</v>
      </c>
      <c r="C25" s="49" t="s">
        <v>351</v>
      </c>
      <c r="D25" s="2" t="s">
        <v>327</v>
      </c>
      <c r="E25" s="2" t="s">
        <v>339</v>
      </c>
      <c r="F25" s="288" t="s">
        <v>535</v>
      </c>
      <c r="G25" s="288"/>
    </row>
    <row r="26" spans="2:8" s="10" customFormat="1" ht="15" x14ac:dyDescent="0.2">
      <c r="B26" s="48" t="s">
        <v>352</v>
      </c>
      <c r="C26" s="49" t="s">
        <v>353</v>
      </c>
      <c r="D26" s="2" t="s">
        <v>354</v>
      </c>
      <c r="E26" s="2" t="s">
        <v>339</v>
      </c>
      <c r="F26" s="288" t="s">
        <v>355</v>
      </c>
      <c r="G26" s="288"/>
    </row>
    <row r="27" spans="2:8" s="10" customFormat="1" ht="15" x14ac:dyDescent="0.2">
      <c r="B27" s="48" t="s">
        <v>356</v>
      </c>
      <c r="C27" s="49" t="s">
        <v>357</v>
      </c>
      <c r="D27" s="2" t="s">
        <v>61</v>
      </c>
      <c r="E27" s="2" t="s">
        <v>339</v>
      </c>
      <c r="F27" s="288" t="s">
        <v>358</v>
      </c>
      <c r="G27" s="288"/>
    </row>
    <row r="28" spans="2:8" s="10" customFormat="1" ht="15" x14ac:dyDescent="0.2">
      <c r="B28" s="48" t="s">
        <v>359</v>
      </c>
      <c r="C28" s="49" t="s">
        <v>360</v>
      </c>
      <c r="D28" s="2" t="s">
        <v>361</v>
      </c>
      <c r="E28" s="2" t="s">
        <v>362</v>
      </c>
      <c r="F28" s="288" t="s">
        <v>363</v>
      </c>
      <c r="G28" s="288"/>
    </row>
    <row r="29" spans="2:8" s="10" customFormat="1" x14ac:dyDescent="0.2"/>
    <row r="30" spans="2:8" s="136" customFormat="1" ht="21.75" customHeight="1" x14ac:dyDescent="0.2">
      <c r="B30" s="301" t="s">
        <v>537</v>
      </c>
      <c r="C30" s="301"/>
      <c r="D30" s="301"/>
      <c r="E30" s="301"/>
      <c r="F30" s="301"/>
      <c r="G30" s="301"/>
    </row>
    <row r="31" spans="2:8" s="136" customFormat="1" ht="18" customHeight="1" x14ac:dyDescent="0.2">
      <c r="B31" s="295" t="s">
        <v>538</v>
      </c>
      <c r="C31" s="295"/>
      <c r="D31" s="295"/>
      <c r="E31" s="295"/>
      <c r="F31" s="295"/>
      <c r="G31" s="295"/>
    </row>
    <row r="32" spans="2:8" s="136" customFormat="1" ht="143" customHeight="1" x14ac:dyDescent="0.2">
      <c r="B32" s="292" t="s">
        <v>514</v>
      </c>
      <c r="C32" s="292"/>
      <c r="D32" s="292"/>
      <c r="E32" s="292"/>
      <c r="F32" s="292"/>
      <c r="G32" s="292"/>
    </row>
    <row r="33" spans="2:7" s="136" customFormat="1" ht="31.5" customHeight="1" x14ac:dyDescent="0.2">
      <c r="B33" s="300" t="s">
        <v>515</v>
      </c>
      <c r="C33" s="300"/>
      <c r="D33" s="300"/>
      <c r="E33" s="300"/>
      <c r="F33" s="300"/>
      <c r="G33" s="300"/>
    </row>
    <row r="34" spans="2:7" s="136" customFormat="1" x14ac:dyDescent="0.2"/>
    <row r="35" spans="2:7" s="136" customFormat="1" ht="18" customHeight="1" x14ac:dyDescent="0.2">
      <c r="B35" s="295" t="s">
        <v>539</v>
      </c>
      <c r="C35" s="295"/>
      <c r="D35" s="295"/>
      <c r="E35" s="295"/>
      <c r="F35" s="295"/>
      <c r="G35" s="295"/>
    </row>
    <row r="36" spans="2:7" s="136" customFormat="1" ht="224" customHeight="1" x14ac:dyDescent="0.2">
      <c r="B36" s="292" t="s">
        <v>540</v>
      </c>
      <c r="C36" s="292"/>
      <c r="D36" s="292"/>
      <c r="E36" s="292"/>
      <c r="F36" s="292"/>
      <c r="G36" s="292"/>
    </row>
    <row r="37" spans="2:7" s="136" customFormat="1" ht="38" customHeight="1" x14ac:dyDescent="0.2">
      <c r="B37" s="300" t="s">
        <v>541</v>
      </c>
      <c r="C37" s="300"/>
      <c r="D37" s="300"/>
      <c r="E37" s="300"/>
      <c r="F37" s="300"/>
      <c r="G37" s="300"/>
    </row>
    <row r="38" spans="2:7" s="136" customFormat="1" ht="18" customHeight="1" x14ac:dyDescent="0.2">
      <c r="B38" s="295" t="s">
        <v>553</v>
      </c>
      <c r="C38" s="295"/>
      <c r="D38" s="295"/>
      <c r="E38" s="295"/>
      <c r="F38" s="295"/>
      <c r="G38" s="295"/>
    </row>
    <row r="39" spans="2:7" s="136" customFormat="1" ht="82" customHeight="1" x14ac:dyDescent="0.2">
      <c r="B39" s="292" t="s">
        <v>565</v>
      </c>
      <c r="C39" s="292"/>
      <c r="D39" s="292"/>
      <c r="E39" s="292"/>
      <c r="F39" s="292"/>
      <c r="G39" s="292"/>
    </row>
    <row r="40" spans="2:7" s="136" customFormat="1" ht="25" customHeight="1" x14ac:dyDescent="0.2"/>
    <row r="41" spans="2:7" s="136" customFormat="1" ht="18" customHeight="1" x14ac:dyDescent="0.2">
      <c r="B41" s="295" t="s">
        <v>554</v>
      </c>
      <c r="C41" s="295"/>
      <c r="D41" s="295"/>
      <c r="E41" s="295"/>
      <c r="F41" s="295"/>
      <c r="G41" s="295"/>
    </row>
    <row r="42" spans="2:7" s="136" customFormat="1" ht="130" customHeight="1" x14ac:dyDescent="0.2">
      <c r="B42" s="292" t="s">
        <v>566</v>
      </c>
      <c r="C42" s="292"/>
      <c r="D42" s="292"/>
      <c r="E42" s="292"/>
      <c r="F42" s="292"/>
      <c r="G42" s="292"/>
    </row>
    <row r="43" spans="2:7" s="136" customFormat="1" ht="56" customHeight="1" x14ac:dyDescent="0.2">
      <c r="B43" s="300" t="s">
        <v>542</v>
      </c>
      <c r="C43" s="300"/>
      <c r="D43" s="300"/>
      <c r="E43" s="300"/>
      <c r="F43" s="300"/>
      <c r="G43" s="300"/>
    </row>
    <row r="44" spans="2:7" s="136" customFormat="1" x14ac:dyDescent="0.2"/>
    <row r="45" spans="2:7" s="136" customFormat="1" ht="18" customHeight="1" x14ac:dyDescent="0.2">
      <c r="B45" s="298" t="s">
        <v>555</v>
      </c>
      <c r="C45" s="298"/>
      <c r="D45" s="298"/>
      <c r="E45" s="298"/>
      <c r="F45" s="298"/>
      <c r="G45" s="298"/>
    </row>
    <row r="46" spans="2:7" s="136" customFormat="1" ht="338" customHeight="1" x14ac:dyDescent="0.2">
      <c r="B46" s="299" t="s">
        <v>568</v>
      </c>
      <c r="C46" s="299"/>
      <c r="D46" s="299"/>
      <c r="E46" s="299"/>
      <c r="F46" s="299"/>
      <c r="G46" s="299"/>
    </row>
    <row r="47" spans="2:7" s="10" customFormat="1" x14ac:dyDescent="0.2"/>
    <row r="48" spans="2:7" s="10" customFormat="1" x14ac:dyDescent="0.2">
      <c r="B48" s="306" t="s">
        <v>556</v>
      </c>
      <c r="C48" s="306"/>
      <c r="D48" s="306"/>
      <c r="E48" s="306"/>
      <c r="F48" s="306"/>
      <c r="G48" s="306"/>
    </row>
    <row r="49" spans="2:7" s="10" customFormat="1" ht="65" customHeight="1" x14ac:dyDescent="0.2">
      <c r="B49" s="307" t="s">
        <v>364</v>
      </c>
      <c r="C49" s="307"/>
      <c r="D49" s="307"/>
      <c r="E49" s="307"/>
      <c r="F49" s="307"/>
      <c r="G49" s="307"/>
    </row>
    <row r="50" spans="2:7" s="10" customFormat="1" x14ac:dyDescent="0.2"/>
    <row r="51" spans="2:7" s="10" customFormat="1" x14ac:dyDescent="0.2"/>
    <row r="52" spans="2:7" s="10" customFormat="1" x14ac:dyDescent="0.2"/>
    <row r="53" spans="2:7" s="10" customFormat="1" x14ac:dyDescent="0.2"/>
    <row r="54" spans="2:7" s="10" customFormat="1" x14ac:dyDescent="0.2"/>
    <row r="55" spans="2:7" s="10" customFormat="1" x14ac:dyDescent="0.2"/>
    <row r="56" spans="2:7" s="10" customFormat="1" x14ac:dyDescent="0.2"/>
    <row r="57" spans="2:7" s="10" customFormat="1" x14ac:dyDescent="0.2"/>
    <row r="58" spans="2:7" s="10" customFormat="1" x14ac:dyDescent="0.2"/>
    <row r="59" spans="2:7" s="10" customFormat="1" x14ac:dyDescent="0.2"/>
    <row r="60" spans="2:7" s="10" customFormat="1" x14ac:dyDescent="0.2"/>
    <row r="61" spans="2:7" s="10" customFormat="1" x14ac:dyDescent="0.2"/>
    <row r="62" spans="2:7" s="10" customFormat="1" x14ac:dyDescent="0.2"/>
    <row r="63" spans="2:7" s="10" customFormat="1" x14ac:dyDescent="0.2"/>
    <row r="64" spans="2:7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  <row r="644" s="10" customFormat="1" x14ac:dyDescent="0.2"/>
    <row r="645" s="10" customFormat="1" x14ac:dyDescent="0.2"/>
    <row r="646" s="10" customFormat="1" x14ac:dyDescent="0.2"/>
    <row r="647" s="10" customFormat="1" x14ac:dyDescent="0.2"/>
    <row r="648" s="10" customFormat="1" x14ac:dyDescent="0.2"/>
    <row r="649" s="10" customFormat="1" x14ac:dyDescent="0.2"/>
    <row r="650" s="10" customFormat="1" x14ac:dyDescent="0.2"/>
    <row r="651" s="10" customFormat="1" x14ac:dyDescent="0.2"/>
    <row r="652" s="10" customFormat="1" x14ac:dyDescent="0.2"/>
    <row r="653" s="10" customFormat="1" x14ac:dyDescent="0.2"/>
    <row r="654" s="10" customFormat="1" x14ac:dyDescent="0.2"/>
    <row r="655" s="10" customFormat="1" x14ac:dyDescent="0.2"/>
    <row r="656" s="10" customFormat="1" x14ac:dyDescent="0.2"/>
    <row r="657" s="10" customFormat="1" x14ac:dyDescent="0.2"/>
    <row r="658" s="10" customFormat="1" x14ac:dyDescent="0.2"/>
    <row r="659" s="10" customFormat="1" x14ac:dyDescent="0.2"/>
    <row r="660" s="10" customFormat="1" x14ac:dyDescent="0.2"/>
    <row r="661" s="10" customFormat="1" x14ac:dyDescent="0.2"/>
    <row r="662" s="10" customFormat="1" x14ac:dyDescent="0.2"/>
    <row r="663" s="10" customFormat="1" x14ac:dyDescent="0.2"/>
    <row r="664" s="10" customFormat="1" x14ac:dyDescent="0.2"/>
    <row r="665" s="10" customFormat="1" x14ac:dyDescent="0.2"/>
    <row r="666" s="10" customFormat="1" x14ac:dyDescent="0.2"/>
    <row r="667" s="10" customFormat="1" x14ac:dyDescent="0.2"/>
    <row r="668" s="10" customFormat="1" x14ac:dyDescent="0.2"/>
    <row r="669" s="10" customFormat="1" x14ac:dyDescent="0.2"/>
    <row r="670" s="10" customFormat="1" x14ac:dyDescent="0.2"/>
    <row r="671" s="10" customFormat="1" x14ac:dyDescent="0.2"/>
    <row r="672" s="10" customFormat="1" x14ac:dyDescent="0.2"/>
    <row r="673" s="10" customFormat="1" x14ac:dyDescent="0.2"/>
    <row r="674" s="10" customFormat="1" x14ac:dyDescent="0.2"/>
    <row r="675" s="10" customFormat="1" x14ac:dyDescent="0.2"/>
    <row r="676" s="10" customFormat="1" x14ac:dyDescent="0.2"/>
    <row r="677" s="10" customFormat="1" x14ac:dyDescent="0.2"/>
    <row r="678" s="10" customFormat="1" x14ac:dyDescent="0.2"/>
    <row r="679" s="10" customFormat="1" x14ac:dyDescent="0.2"/>
    <row r="680" s="10" customFormat="1" x14ac:dyDescent="0.2"/>
    <row r="681" s="10" customFormat="1" x14ac:dyDescent="0.2"/>
    <row r="682" s="10" customFormat="1" x14ac:dyDescent="0.2"/>
    <row r="683" s="10" customFormat="1" x14ac:dyDescent="0.2"/>
    <row r="684" s="10" customFormat="1" x14ac:dyDescent="0.2"/>
    <row r="685" s="10" customFormat="1" x14ac:dyDescent="0.2"/>
    <row r="686" s="10" customFormat="1" x14ac:dyDescent="0.2"/>
    <row r="687" s="10" customFormat="1" x14ac:dyDescent="0.2"/>
    <row r="688" s="10" customFormat="1" x14ac:dyDescent="0.2"/>
    <row r="689" s="10" customFormat="1" x14ac:dyDescent="0.2"/>
    <row r="690" s="10" customFormat="1" x14ac:dyDescent="0.2"/>
    <row r="691" s="10" customFormat="1" x14ac:dyDescent="0.2"/>
    <row r="692" s="10" customFormat="1" x14ac:dyDescent="0.2"/>
    <row r="693" s="10" customFormat="1" x14ac:dyDescent="0.2"/>
    <row r="694" s="10" customFormat="1" x14ac:dyDescent="0.2"/>
    <row r="695" s="10" customFormat="1" x14ac:dyDescent="0.2"/>
    <row r="696" s="10" customFormat="1" x14ac:dyDescent="0.2"/>
    <row r="697" s="10" customFormat="1" x14ac:dyDescent="0.2"/>
    <row r="698" s="10" customFormat="1" x14ac:dyDescent="0.2"/>
    <row r="699" s="10" customFormat="1" x14ac:dyDescent="0.2"/>
    <row r="700" s="10" customFormat="1" x14ac:dyDescent="0.2"/>
    <row r="701" s="10" customFormat="1" x14ac:dyDescent="0.2"/>
    <row r="702" s="10" customFormat="1" x14ac:dyDescent="0.2"/>
    <row r="703" s="10" customFormat="1" x14ac:dyDescent="0.2"/>
    <row r="704" s="10" customFormat="1" x14ac:dyDescent="0.2"/>
    <row r="705" s="10" customFormat="1" x14ac:dyDescent="0.2"/>
    <row r="706" s="10" customFormat="1" x14ac:dyDescent="0.2"/>
    <row r="707" s="10" customFormat="1" x14ac:dyDescent="0.2"/>
    <row r="708" s="10" customFormat="1" x14ac:dyDescent="0.2"/>
    <row r="709" s="10" customFormat="1" x14ac:dyDescent="0.2"/>
    <row r="710" s="10" customFormat="1" x14ac:dyDescent="0.2"/>
    <row r="711" s="10" customFormat="1" x14ac:dyDescent="0.2"/>
    <row r="712" s="10" customFormat="1" x14ac:dyDescent="0.2"/>
    <row r="713" s="10" customFormat="1" x14ac:dyDescent="0.2"/>
    <row r="714" s="10" customFormat="1" x14ac:dyDescent="0.2"/>
    <row r="715" s="10" customFormat="1" x14ac:dyDescent="0.2"/>
    <row r="716" s="10" customFormat="1" x14ac:dyDescent="0.2"/>
    <row r="717" s="10" customFormat="1" x14ac:dyDescent="0.2"/>
    <row r="718" s="10" customFormat="1" x14ac:dyDescent="0.2"/>
    <row r="719" s="10" customFormat="1" x14ac:dyDescent="0.2"/>
    <row r="720" s="10" customFormat="1" x14ac:dyDescent="0.2"/>
    <row r="721" s="10" customFormat="1" x14ac:dyDescent="0.2"/>
    <row r="722" s="10" customFormat="1" x14ac:dyDescent="0.2"/>
    <row r="723" s="10" customFormat="1" x14ac:dyDescent="0.2"/>
    <row r="724" s="10" customFormat="1" x14ac:dyDescent="0.2"/>
    <row r="725" s="10" customFormat="1" x14ac:dyDescent="0.2"/>
    <row r="726" s="10" customFormat="1" x14ac:dyDescent="0.2"/>
    <row r="727" s="10" customFormat="1" x14ac:dyDescent="0.2"/>
    <row r="728" s="10" customFormat="1" x14ac:dyDescent="0.2"/>
    <row r="729" s="10" customFormat="1" x14ac:dyDescent="0.2"/>
    <row r="730" s="10" customFormat="1" x14ac:dyDescent="0.2"/>
    <row r="731" s="10" customFormat="1" x14ac:dyDescent="0.2"/>
    <row r="732" s="10" customFormat="1" x14ac:dyDescent="0.2"/>
    <row r="733" s="10" customFormat="1" x14ac:dyDescent="0.2"/>
    <row r="734" s="10" customFormat="1" x14ac:dyDescent="0.2"/>
    <row r="735" s="10" customFormat="1" x14ac:dyDescent="0.2"/>
    <row r="736" s="10" customFormat="1" x14ac:dyDescent="0.2"/>
    <row r="737" s="10" customFormat="1" x14ac:dyDescent="0.2"/>
    <row r="738" s="10" customFormat="1" x14ac:dyDescent="0.2"/>
    <row r="739" s="10" customFormat="1" x14ac:dyDescent="0.2"/>
    <row r="740" s="10" customFormat="1" x14ac:dyDescent="0.2"/>
    <row r="741" s="10" customFormat="1" x14ac:dyDescent="0.2"/>
    <row r="742" s="10" customFormat="1" x14ac:dyDescent="0.2"/>
    <row r="743" s="10" customFormat="1" x14ac:dyDescent="0.2"/>
    <row r="744" s="10" customFormat="1" x14ac:dyDescent="0.2"/>
    <row r="745" s="10" customFormat="1" x14ac:dyDescent="0.2"/>
    <row r="746" s="10" customFormat="1" x14ac:dyDescent="0.2"/>
    <row r="747" s="10" customFormat="1" x14ac:dyDescent="0.2"/>
    <row r="748" s="10" customFormat="1" x14ac:dyDescent="0.2"/>
    <row r="749" s="10" customFormat="1" x14ac:dyDescent="0.2"/>
    <row r="750" s="10" customFormat="1" x14ac:dyDescent="0.2"/>
    <row r="751" s="10" customFormat="1" x14ac:dyDescent="0.2"/>
    <row r="752" s="10" customFormat="1" x14ac:dyDescent="0.2"/>
    <row r="753" s="10" customFormat="1" x14ac:dyDescent="0.2"/>
    <row r="754" s="10" customFormat="1" x14ac:dyDescent="0.2"/>
    <row r="755" s="10" customFormat="1" x14ac:dyDescent="0.2"/>
    <row r="756" s="10" customFormat="1" x14ac:dyDescent="0.2"/>
    <row r="757" s="10" customFormat="1" x14ac:dyDescent="0.2"/>
    <row r="758" s="10" customFormat="1" x14ac:dyDescent="0.2"/>
    <row r="759" s="10" customFormat="1" x14ac:dyDescent="0.2"/>
    <row r="760" s="10" customFormat="1" x14ac:dyDescent="0.2"/>
    <row r="761" s="10" customFormat="1" x14ac:dyDescent="0.2"/>
    <row r="762" s="10" customFormat="1" x14ac:dyDescent="0.2"/>
    <row r="763" s="10" customFormat="1" x14ac:dyDescent="0.2"/>
    <row r="764" s="10" customFormat="1" x14ac:dyDescent="0.2"/>
    <row r="765" s="10" customFormat="1" x14ac:dyDescent="0.2"/>
    <row r="766" s="10" customFormat="1" x14ac:dyDescent="0.2"/>
    <row r="767" s="10" customFormat="1" x14ac:dyDescent="0.2"/>
    <row r="768" s="10" customFormat="1" x14ac:dyDescent="0.2"/>
    <row r="769" s="10" customFormat="1" x14ac:dyDescent="0.2"/>
    <row r="770" s="10" customFormat="1" x14ac:dyDescent="0.2"/>
    <row r="771" s="10" customFormat="1" x14ac:dyDescent="0.2"/>
    <row r="772" s="10" customFormat="1" x14ac:dyDescent="0.2"/>
    <row r="773" s="10" customFormat="1" x14ac:dyDescent="0.2"/>
    <row r="774" s="10" customFormat="1" x14ac:dyDescent="0.2"/>
    <row r="775" s="10" customFormat="1" x14ac:dyDescent="0.2"/>
    <row r="776" s="10" customFormat="1" x14ac:dyDescent="0.2"/>
    <row r="777" s="10" customFormat="1" x14ac:dyDescent="0.2"/>
    <row r="778" s="10" customFormat="1" x14ac:dyDescent="0.2"/>
    <row r="779" s="10" customFormat="1" x14ac:dyDescent="0.2"/>
    <row r="780" s="10" customFormat="1" x14ac:dyDescent="0.2"/>
    <row r="781" s="10" customFormat="1" x14ac:dyDescent="0.2"/>
    <row r="782" s="10" customFormat="1" x14ac:dyDescent="0.2"/>
    <row r="783" s="10" customFormat="1" x14ac:dyDescent="0.2"/>
    <row r="784" s="10" customFormat="1" x14ac:dyDescent="0.2"/>
    <row r="785" s="10" customFormat="1" x14ac:dyDescent="0.2"/>
    <row r="786" s="10" customFormat="1" x14ac:dyDescent="0.2"/>
    <row r="787" s="10" customFormat="1" x14ac:dyDescent="0.2"/>
    <row r="788" s="10" customFormat="1" x14ac:dyDescent="0.2"/>
    <row r="789" s="10" customFormat="1" x14ac:dyDescent="0.2"/>
    <row r="790" s="10" customFormat="1" x14ac:dyDescent="0.2"/>
    <row r="791" s="10" customFormat="1" x14ac:dyDescent="0.2"/>
    <row r="792" s="10" customFormat="1" x14ac:dyDescent="0.2"/>
    <row r="793" s="10" customFormat="1" x14ac:dyDescent="0.2"/>
    <row r="794" s="10" customFormat="1" x14ac:dyDescent="0.2"/>
    <row r="795" s="10" customFormat="1" x14ac:dyDescent="0.2"/>
    <row r="796" s="10" customFormat="1" x14ac:dyDescent="0.2"/>
    <row r="797" s="10" customFormat="1" x14ac:dyDescent="0.2"/>
    <row r="798" s="10" customFormat="1" x14ac:dyDescent="0.2"/>
    <row r="799" s="10" customFormat="1" x14ac:dyDescent="0.2"/>
    <row r="800" s="10" customFormat="1" x14ac:dyDescent="0.2"/>
    <row r="801" s="10" customFormat="1" x14ac:dyDescent="0.2"/>
    <row r="802" s="10" customFormat="1" x14ac:dyDescent="0.2"/>
    <row r="803" s="10" customFormat="1" x14ac:dyDescent="0.2"/>
    <row r="804" s="10" customFormat="1" x14ac:dyDescent="0.2"/>
    <row r="805" s="10" customFormat="1" x14ac:dyDescent="0.2"/>
    <row r="806" s="10" customFormat="1" x14ac:dyDescent="0.2"/>
    <row r="807" s="10" customFormat="1" x14ac:dyDescent="0.2"/>
    <row r="808" s="10" customFormat="1" x14ac:dyDescent="0.2"/>
    <row r="809" s="10" customFormat="1" x14ac:dyDescent="0.2"/>
    <row r="810" s="10" customFormat="1" x14ac:dyDescent="0.2"/>
    <row r="811" s="10" customFormat="1" x14ac:dyDescent="0.2"/>
    <row r="812" s="10" customFormat="1" x14ac:dyDescent="0.2"/>
    <row r="813" s="10" customFormat="1" x14ac:dyDescent="0.2"/>
    <row r="814" s="10" customFormat="1" x14ac:dyDescent="0.2"/>
    <row r="815" s="10" customFormat="1" x14ac:dyDescent="0.2"/>
    <row r="816" s="10" customFormat="1" x14ac:dyDescent="0.2"/>
    <row r="817" s="10" customFormat="1" x14ac:dyDescent="0.2"/>
    <row r="818" s="10" customFormat="1" x14ac:dyDescent="0.2"/>
    <row r="819" s="10" customFormat="1" x14ac:dyDescent="0.2"/>
    <row r="820" s="10" customFormat="1" x14ac:dyDescent="0.2"/>
    <row r="821" s="10" customFormat="1" x14ac:dyDescent="0.2"/>
    <row r="822" s="10" customFormat="1" x14ac:dyDescent="0.2"/>
    <row r="823" s="10" customFormat="1" x14ac:dyDescent="0.2"/>
    <row r="824" s="10" customFormat="1" x14ac:dyDescent="0.2"/>
    <row r="825" s="10" customFormat="1" x14ac:dyDescent="0.2"/>
    <row r="826" s="10" customFormat="1" x14ac:dyDescent="0.2"/>
    <row r="827" s="10" customFormat="1" x14ac:dyDescent="0.2"/>
    <row r="828" s="10" customFormat="1" x14ac:dyDescent="0.2"/>
    <row r="829" s="10" customFormat="1" x14ac:dyDescent="0.2"/>
    <row r="830" s="10" customFormat="1" x14ac:dyDescent="0.2"/>
    <row r="831" s="10" customFormat="1" x14ac:dyDescent="0.2"/>
    <row r="832" s="10" customFormat="1" x14ac:dyDescent="0.2"/>
    <row r="833" s="10" customFormat="1" x14ac:dyDescent="0.2"/>
    <row r="834" s="10" customFormat="1" x14ac:dyDescent="0.2"/>
    <row r="835" s="10" customFormat="1" x14ac:dyDescent="0.2"/>
    <row r="836" s="10" customFormat="1" x14ac:dyDescent="0.2"/>
    <row r="837" s="10" customFormat="1" x14ac:dyDescent="0.2"/>
    <row r="838" s="10" customFormat="1" x14ac:dyDescent="0.2"/>
    <row r="839" s="10" customFormat="1" x14ac:dyDescent="0.2"/>
    <row r="840" s="10" customFormat="1" x14ac:dyDescent="0.2"/>
    <row r="841" s="10" customFormat="1" x14ac:dyDescent="0.2"/>
    <row r="842" s="10" customFormat="1" x14ac:dyDescent="0.2"/>
    <row r="843" s="10" customFormat="1" x14ac:dyDescent="0.2"/>
    <row r="844" s="10" customFormat="1" x14ac:dyDescent="0.2"/>
    <row r="845" s="10" customFormat="1" x14ac:dyDescent="0.2"/>
    <row r="846" s="10" customFormat="1" x14ac:dyDescent="0.2"/>
    <row r="847" s="10" customFormat="1" x14ac:dyDescent="0.2"/>
    <row r="848" s="10" customFormat="1" x14ac:dyDescent="0.2"/>
    <row r="849" s="10" customFormat="1" x14ac:dyDescent="0.2"/>
    <row r="850" s="10" customFormat="1" x14ac:dyDescent="0.2"/>
    <row r="851" s="10" customFormat="1" x14ac:dyDescent="0.2"/>
    <row r="852" s="10" customFormat="1" x14ac:dyDescent="0.2"/>
    <row r="853" s="10" customFormat="1" x14ac:dyDescent="0.2"/>
    <row r="854" s="10" customFormat="1" x14ac:dyDescent="0.2"/>
    <row r="855" s="10" customFormat="1" x14ac:dyDescent="0.2"/>
    <row r="856" s="10" customFormat="1" x14ac:dyDescent="0.2"/>
    <row r="857" s="10" customFormat="1" x14ac:dyDescent="0.2"/>
    <row r="858" s="10" customFormat="1" x14ac:dyDescent="0.2"/>
    <row r="859" s="10" customFormat="1" x14ac:dyDescent="0.2"/>
    <row r="860" s="10" customFormat="1" x14ac:dyDescent="0.2"/>
    <row r="861" s="10" customFormat="1" x14ac:dyDescent="0.2"/>
    <row r="862" s="10" customFormat="1" x14ac:dyDescent="0.2"/>
    <row r="863" s="10" customFormat="1" x14ac:dyDescent="0.2"/>
    <row r="864" s="10" customFormat="1" x14ac:dyDescent="0.2"/>
    <row r="865" s="10" customFormat="1" x14ac:dyDescent="0.2"/>
    <row r="866" s="10" customFormat="1" x14ac:dyDescent="0.2"/>
    <row r="867" s="10" customFormat="1" x14ac:dyDescent="0.2"/>
    <row r="868" s="10" customFormat="1" x14ac:dyDescent="0.2"/>
    <row r="869" s="10" customFormat="1" x14ac:dyDescent="0.2"/>
    <row r="870" s="10" customFormat="1" x14ac:dyDescent="0.2"/>
    <row r="871" s="10" customFormat="1" x14ac:dyDescent="0.2"/>
    <row r="872" s="10" customFormat="1" x14ac:dyDescent="0.2"/>
    <row r="873" s="10" customFormat="1" x14ac:dyDescent="0.2"/>
    <row r="874" s="10" customFormat="1" x14ac:dyDescent="0.2"/>
    <row r="875" s="10" customFormat="1" x14ac:dyDescent="0.2"/>
    <row r="876" s="10" customFormat="1" x14ac:dyDescent="0.2"/>
    <row r="877" s="10" customFormat="1" x14ac:dyDescent="0.2"/>
    <row r="878" s="10" customFormat="1" x14ac:dyDescent="0.2"/>
    <row r="879" s="10" customFormat="1" x14ac:dyDescent="0.2"/>
    <row r="880" s="10" customFormat="1" x14ac:dyDescent="0.2"/>
    <row r="881" s="10" customFormat="1" x14ac:dyDescent="0.2"/>
    <row r="882" s="10" customFormat="1" x14ac:dyDescent="0.2"/>
    <row r="883" s="10" customFormat="1" x14ac:dyDescent="0.2"/>
    <row r="884" s="10" customFormat="1" x14ac:dyDescent="0.2"/>
    <row r="885" s="10" customFormat="1" x14ac:dyDescent="0.2"/>
    <row r="886" s="10" customFormat="1" x14ac:dyDescent="0.2"/>
    <row r="887" s="10" customFormat="1" x14ac:dyDescent="0.2"/>
    <row r="888" s="10" customFormat="1" x14ac:dyDescent="0.2"/>
    <row r="889" s="10" customFormat="1" x14ac:dyDescent="0.2"/>
    <row r="890" s="10" customFormat="1" x14ac:dyDescent="0.2"/>
    <row r="891" s="10" customFormat="1" x14ac:dyDescent="0.2"/>
    <row r="892" s="10" customFormat="1" x14ac:dyDescent="0.2"/>
    <row r="893" s="10" customFormat="1" x14ac:dyDescent="0.2"/>
    <row r="894" s="10" customFormat="1" x14ac:dyDescent="0.2"/>
    <row r="895" s="10" customFormat="1" x14ac:dyDescent="0.2"/>
    <row r="896" s="10" customFormat="1" x14ac:dyDescent="0.2"/>
    <row r="897" s="10" customFormat="1" x14ac:dyDescent="0.2"/>
    <row r="898" s="10" customFormat="1" x14ac:dyDescent="0.2"/>
    <row r="899" s="10" customFormat="1" x14ac:dyDescent="0.2"/>
    <row r="900" s="10" customFormat="1" x14ac:dyDescent="0.2"/>
    <row r="901" s="10" customFormat="1" x14ac:dyDescent="0.2"/>
    <row r="902" s="10" customFormat="1" x14ac:dyDescent="0.2"/>
    <row r="903" s="10" customFormat="1" x14ac:dyDescent="0.2"/>
    <row r="904" s="10" customFormat="1" x14ac:dyDescent="0.2"/>
    <row r="905" s="10" customFormat="1" x14ac:dyDescent="0.2"/>
    <row r="906" s="10" customFormat="1" x14ac:dyDescent="0.2"/>
    <row r="907" s="10" customFormat="1" x14ac:dyDescent="0.2"/>
    <row r="908" s="10" customFormat="1" x14ac:dyDescent="0.2"/>
    <row r="909" s="10" customFormat="1" x14ac:dyDescent="0.2"/>
    <row r="910" s="10" customFormat="1" x14ac:dyDescent="0.2"/>
    <row r="911" s="10" customFormat="1" x14ac:dyDescent="0.2"/>
    <row r="912" s="10" customFormat="1" x14ac:dyDescent="0.2"/>
    <row r="913" s="10" customFormat="1" x14ac:dyDescent="0.2"/>
    <row r="914" s="10" customFormat="1" x14ac:dyDescent="0.2"/>
    <row r="915" s="10" customFormat="1" x14ac:dyDescent="0.2"/>
    <row r="916" s="10" customFormat="1" x14ac:dyDescent="0.2"/>
    <row r="917" s="10" customFormat="1" x14ac:dyDescent="0.2"/>
    <row r="918" s="10" customFormat="1" x14ac:dyDescent="0.2"/>
    <row r="919" s="10" customFormat="1" x14ac:dyDescent="0.2"/>
    <row r="920" s="10" customFormat="1" x14ac:dyDescent="0.2"/>
    <row r="921" s="10" customFormat="1" x14ac:dyDescent="0.2"/>
    <row r="922" s="10" customFormat="1" x14ac:dyDescent="0.2"/>
    <row r="923" s="10" customFormat="1" x14ac:dyDescent="0.2"/>
    <row r="924" s="10" customFormat="1" x14ac:dyDescent="0.2"/>
    <row r="925" s="10" customFormat="1" x14ac:dyDescent="0.2"/>
    <row r="926" s="10" customFormat="1" x14ac:dyDescent="0.2"/>
    <row r="927" s="10" customFormat="1" x14ac:dyDescent="0.2"/>
    <row r="928" s="10" customFormat="1" x14ac:dyDescent="0.2"/>
    <row r="929" s="10" customFormat="1" x14ac:dyDescent="0.2"/>
    <row r="930" s="10" customFormat="1" x14ac:dyDescent="0.2"/>
    <row r="931" s="10" customFormat="1" x14ac:dyDescent="0.2"/>
    <row r="932" s="10" customFormat="1" x14ac:dyDescent="0.2"/>
    <row r="933" s="10" customFormat="1" x14ac:dyDescent="0.2"/>
    <row r="934" s="10" customFormat="1" x14ac:dyDescent="0.2"/>
    <row r="935" s="10" customFormat="1" x14ac:dyDescent="0.2"/>
    <row r="936" s="10" customFormat="1" x14ac:dyDescent="0.2"/>
    <row r="937" s="10" customFormat="1" x14ac:dyDescent="0.2"/>
    <row r="938" s="10" customFormat="1" x14ac:dyDescent="0.2"/>
    <row r="939" s="10" customFormat="1" x14ac:dyDescent="0.2"/>
    <row r="940" s="10" customFormat="1" x14ac:dyDescent="0.2"/>
    <row r="941" s="10" customFormat="1" x14ac:dyDescent="0.2"/>
    <row r="942" s="10" customFormat="1" x14ac:dyDescent="0.2"/>
    <row r="943" s="10" customFormat="1" x14ac:dyDescent="0.2"/>
    <row r="944" s="10" customFormat="1" x14ac:dyDescent="0.2"/>
    <row r="945" s="10" customFormat="1" x14ac:dyDescent="0.2"/>
    <row r="946" s="10" customFormat="1" x14ac:dyDescent="0.2"/>
    <row r="947" s="10" customFormat="1" x14ac:dyDescent="0.2"/>
    <row r="948" s="10" customFormat="1" x14ac:dyDescent="0.2"/>
    <row r="949" s="10" customFormat="1" x14ac:dyDescent="0.2"/>
    <row r="950" s="10" customFormat="1" x14ac:dyDescent="0.2"/>
    <row r="951" s="10" customFormat="1" x14ac:dyDescent="0.2"/>
    <row r="952" s="10" customFormat="1" x14ac:dyDescent="0.2"/>
    <row r="953" s="10" customFormat="1" x14ac:dyDescent="0.2"/>
    <row r="954" s="10" customFormat="1" x14ac:dyDescent="0.2"/>
    <row r="955" s="10" customFormat="1" x14ac:dyDescent="0.2"/>
    <row r="956" s="10" customFormat="1" x14ac:dyDescent="0.2"/>
    <row r="957" s="10" customFormat="1" x14ac:dyDescent="0.2"/>
    <row r="958" s="10" customFormat="1" x14ac:dyDescent="0.2"/>
    <row r="959" s="10" customFormat="1" x14ac:dyDescent="0.2"/>
    <row r="960" s="10" customFormat="1" x14ac:dyDescent="0.2"/>
    <row r="961" s="10" customFormat="1" x14ac:dyDescent="0.2"/>
    <row r="962" s="10" customFormat="1" x14ac:dyDescent="0.2"/>
    <row r="963" s="10" customFormat="1" x14ac:dyDescent="0.2"/>
    <row r="964" s="10" customFormat="1" x14ac:dyDescent="0.2"/>
    <row r="965" s="10" customFormat="1" x14ac:dyDescent="0.2"/>
    <row r="966" s="10" customFormat="1" x14ac:dyDescent="0.2"/>
    <row r="967" s="10" customFormat="1" x14ac:dyDescent="0.2"/>
    <row r="968" s="10" customFormat="1" x14ac:dyDescent="0.2"/>
    <row r="969" s="10" customFormat="1" x14ac:dyDescent="0.2"/>
    <row r="970" s="10" customFormat="1" x14ac:dyDescent="0.2"/>
    <row r="971" s="10" customFormat="1" x14ac:dyDescent="0.2"/>
    <row r="972" s="10" customFormat="1" x14ac:dyDescent="0.2"/>
    <row r="973" s="10" customFormat="1" x14ac:dyDescent="0.2"/>
    <row r="974" s="10" customFormat="1" x14ac:dyDescent="0.2"/>
    <row r="975" s="10" customFormat="1" x14ac:dyDescent="0.2"/>
    <row r="976" s="10" customFormat="1" x14ac:dyDescent="0.2"/>
    <row r="977" s="10" customFormat="1" x14ac:dyDescent="0.2"/>
    <row r="978" s="10" customFormat="1" x14ac:dyDescent="0.2"/>
    <row r="979" s="10" customFormat="1" x14ac:dyDescent="0.2"/>
    <row r="980" s="10" customFormat="1" x14ac:dyDescent="0.2"/>
    <row r="981" s="10" customFormat="1" x14ac:dyDescent="0.2"/>
    <row r="982" s="10" customFormat="1" x14ac:dyDescent="0.2"/>
    <row r="983" s="10" customFormat="1" x14ac:dyDescent="0.2"/>
    <row r="984" s="10" customFormat="1" x14ac:dyDescent="0.2"/>
    <row r="985" s="10" customFormat="1" x14ac:dyDescent="0.2"/>
    <row r="986" s="10" customFormat="1" x14ac:dyDescent="0.2"/>
    <row r="987" s="10" customFormat="1" x14ac:dyDescent="0.2"/>
    <row r="988" s="10" customFormat="1" x14ac:dyDescent="0.2"/>
    <row r="989" s="10" customFormat="1" x14ac:dyDescent="0.2"/>
    <row r="990" s="10" customFormat="1" x14ac:dyDescent="0.2"/>
    <row r="991" s="10" customFormat="1" x14ac:dyDescent="0.2"/>
    <row r="992" s="10" customFormat="1" x14ac:dyDescent="0.2"/>
    <row r="993" s="10" customFormat="1" x14ac:dyDescent="0.2"/>
    <row r="994" s="10" customFormat="1" x14ac:dyDescent="0.2"/>
    <row r="995" s="10" customFormat="1" x14ac:dyDescent="0.2"/>
    <row r="996" s="10" customFormat="1" x14ac:dyDescent="0.2"/>
    <row r="997" s="10" customFormat="1" x14ac:dyDescent="0.2"/>
    <row r="998" s="10" customFormat="1" x14ac:dyDescent="0.2"/>
    <row r="999" s="10" customFormat="1" x14ac:dyDescent="0.2"/>
    <row r="1000" s="10" customFormat="1" x14ac:dyDescent="0.2"/>
    <row r="1001" s="10" customFormat="1" x14ac:dyDescent="0.2"/>
    <row r="1002" s="10" customFormat="1" x14ac:dyDescent="0.2"/>
    <row r="1003" s="10" customFormat="1" x14ac:dyDescent="0.2"/>
    <row r="1004" s="10" customFormat="1" x14ac:dyDescent="0.2"/>
    <row r="1005" s="10" customFormat="1" x14ac:dyDescent="0.2"/>
    <row r="1006" s="10" customFormat="1" x14ac:dyDescent="0.2"/>
    <row r="1007" s="10" customFormat="1" x14ac:dyDescent="0.2"/>
    <row r="1008" s="10" customFormat="1" x14ac:dyDescent="0.2"/>
    <row r="1009" s="10" customFormat="1" x14ac:dyDescent="0.2"/>
    <row r="1010" s="10" customFormat="1" x14ac:dyDescent="0.2"/>
    <row r="1011" s="10" customFormat="1" x14ac:dyDescent="0.2"/>
    <row r="1012" s="10" customFormat="1" x14ac:dyDescent="0.2"/>
    <row r="1013" s="10" customFormat="1" x14ac:dyDescent="0.2"/>
    <row r="1014" s="10" customFormat="1" x14ac:dyDescent="0.2"/>
    <row r="1015" s="10" customFormat="1" x14ac:dyDescent="0.2"/>
    <row r="1016" s="10" customFormat="1" x14ac:dyDescent="0.2"/>
    <row r="1017" s="10" customFormat="1" x14ac:dyDescent="0.2"/>
    <row r="1018" s="10" customFormat="1" x14ac:dyDescent="0.2"/>
    <row r="1019" s="10" customFormat="1" x14ac:dyDescent="0.2"/>
    <row r="1020" s="10" customFormat="1" x14ac:dyDescent="0.2"/>
    <row r="1021" s="10" customFormat="1" x14ac:dyDescent="0.2"/>
    <row r="1022" s="10" customFormat="1" x14ac:dyDescent="0.2"/>
    <row r="1023" s="10" customFormat="1" x14ac:dyDescent="0.2"/>
    <row r="1024" s="10" customFormat="1" x14ac:dyDescent="0.2"/>
    <row r="1025" s="10" customFormat="1" x14ac:dyDescent="0.2"/>
    <row r="1026" s="10" customFormat="1" x14ac:dyDescent="0.2"/>
    <row r="1027" s="10" customFormat="1" x14ac:dyDescent="0.2"/>
    <row r="1028" s="10" customFormat="1" x14ac:dyDescent="0.2"/>
    <row r="1029" s="10" customFormat="1" x14ac:dyDescent="0.2"/>
    <row r="1030" s="10" customFormat="1" x14ac:dyDescent="0.2"/>
    <row r="1031" s="10" customFormat="1" x14ac:dyDescent="0.2"/>
    <row r="1032" s="10" customFormat="1" x14ac:dyDescent="0.2"/>
    <row r="1033" s="10" customFormat="1" x14ac:dyDescent="0.2"/>
    <row r="1034" s="10" customFormat="1" x14ac:dyDescent="0.2"/>
    <row r="1035" s="10" customFormat="1" x14ac:dyDescent="0.2"/>
    <row r="1036" s="10" customFormat="1" x14ac:dyDescent="0.2"/>
    <row r="1037" s="10" customFormat="1" x14ac:dyDescent="0.2"/>
    <row r="1038" s="10" customFormat="1" x14ac:dyDescent="0.2"/>
    <row r="1039" s="10" customFormat="1" x14ac:dyDescent="0.2"/>
    <row r="1040" s="10" customFormat="1" x14ac:dyDescent="0.2"/>
    <row r="1041" s="10" customFormat="1" x14ac:dyDescent="0.2"/>
    <row r="1042" s="10" customFormat="1" x14ac:dyDescent="0.2"/>
    <row r="1043" s="10" customFormat="1" x14ac:dyDescent="0.2"/>
    <row r="1044" s="10" customFormat="1" x14ac:dyDescent="0.2"/>
    <row r="1045" s="10" customFormat="1" x14ac:dyDescent="0.2"/>
    <row r="1046" s="10" customFormat="1" x14ac:dyDescent="0.2"/>
    <row r="1047" s="10" customFormat="1" x14ac:dyDescent="0.2"/>
    <row r="1048" s="10" customFormat="1" x14ac:dyDescent="0.2"/>
    <row r="1049" s="10" customFormat="1" x14ac:dyDescent="0.2"/>
    <row r="1050" s="10" customFormat="1" x14ac:dyDescent="0.2"/>
    <row r="1051" s="10" customFormat="1" x14ac:dyDescent="0.2"/>
    <row r="1052" s="10" customFormat="1" x14ac:dyDescent="0.2"/>
    <row r="1053" s="10" customFormat="1" x14ac:dyDescent="0.2"/>
    <row r="1054" s="10" customFormat="1" x14ac:dyDescent="0.2"/>
    <row r="1055" s="10" customFormat="1" x14ac:dyDescent="0.2"/>
    <row r="1056" s="10" customFormat="1" x14ac:dyDescent="0.2"/>
    <row r="1057" s="10" customFormat="1" x14ac:dyDescent="0.2"/>
    <row r="1058" s="10" customFormat="1" x14ac:dyDescent="0.2"/>
    <row r="1059" s="10" customFormat="1" x14ac:dyDescent="0.2"/>
    <row r="1060" s="10" customFormat="1" x14ac:dyDescent="0.2"/>
    <row r="1061" s="10" customFormat="1" x14ac:dyDescent="0.2"/>
    <row r="1062" s="10" customFormat="1" x14ac:dyDescent="0.2"/>
    <row r="1063" s="10" customFormat="1" x14ac:dyDescent="0.2"/>
    <row r="1064" s="10" customFormat="1" x14ac:dyDescent="0.2"/>
    <row r="1065" s="10" customFormat="1" x14ac:dyDescent="0.2"/>
    <row r="1066" s="10" customFormat="1" x14ac:dyDescent="0.2"/>
    <row r="1067" s="10" customFormat="1" x14ac:dyDescent="0.2"/>
    <row r="1068" s="10" customFormat="1" x14ac:dyDescent="0.2"/>
    <row r="1069" s="10" customFormat="1" x14ac:dyDescent="0.2"/>
    <row r="1070" s="10" customFormat="1" x14ac:dyDescent="0.2"/>
    <row r="1071" s="10" customFormat="1" x14ac:dyDescent="0.2"/>
    <row r="1072" s="10" customFormat="1" x14ac:dyDescent="0.2"/>
    <row r="1073" s="10" customFormat="1" x14ac:dyDescent="0.2"/>
    <row r="1074" s="10" customFormat="1" x14ac:dyDescent="0.2"/>
    <row r="1075" s="10" customFormat="1" x14ac:dyDescent="0.2"/>
    <row r="1076" s="10" customFormat="1" x14ac:dyDescent="0.2"/>
    <row r="1077" s="10" customFormat="1" x14ac:dyDescent="0.2"/>
    <row r="1078" s="10" customFormat="1" x14ac:dyDescent="0.2"/>
    <row r="1079" s="10" customFormat="1" x14ac:dyDescent="0.2"/>
    <row r="1080" s="10" customFormat="1" x14ac:dyDescent="0.2"/>
    <row r="1081" s="10" customFormat="1" x14ac:dyDescent="0.2"/>
    <row r="1082" s="10" customFormat="1" x14ac:dyDescent="0.2"/>
    <row r="1083" s="10" customFormat="1" x14ac:dyDescent="0.2"/>
    <row r="1084" s="10" customFormat="1" x14ac:dyDescent="0.2"/>
    <row r="1085" s="10" customFormat="1" x14ac:dyDescent="0.2"/>
    <row r="1086" s="10" customFormat="1" x14ac:dyDescent="0.2"/>
    <row r="1087" s="10" customFormat="1" x14ac:dyDescent="0.2"/>
    <row r="1088" s="10" customFormat="1" x14ac:dyDescent="0.2"/>
    <row r="1089" s="10" customFormat="1" x14ac:dyDescent="0.2"/>
  </sheetData>
  <mergeCells count="33">
    <mergeCell ref="F28:G28"/>
    <mergeCell ref="F20:G20"/>
    <mergeCell ref="F21:G21"/>
    <mergeCell ref="F22:G22"/>
    <mergeCell ref="F23:G23"/>
    <mergeCell ref="F24:G24"/>
    <mergeCell ref="F25:G25"/>
    <mergeCell ref="B49:G49"/>
    <mergeCell ref="B19:G19"/>
    <mergeCell ref="B48:G48"/>
    <mergeCell ref="F26:G26"/>
    <mergeCell ref="F27:G27"/>
    <mergeCell ref="C7:E7"/>
    <mergeCell ref="B8:G8"/>
    <mergeCell ref="B4:E4"/>
    <mergeCell ref="C5:E5"/>
    <mergeCell ref="C6:E6"/>
    <mergeCell ref="B1:G1"/>
    <mergeCell ref="B2:G2"/>
    <mergeCell ref="B30:G30"/>
    <mergeCell ref="B31:G31"/>
    <mergeCell ref="B32:G32"/>
    <mergeCell ref="B33:G33"/>
    <mergeCell ref="B35:G35"/>
    <mergeCell ref="B45:G45"/>
    <mergeCell ref="B46:G46"/>
    <mergeCell ref="B36:G36"/>
    <mergeCell ref="B37:G37"/>
    <mergeCell ref="B41:G41"/>
    <mergeCell ref="B42:G42"/>
    <mergeCell ref="B43:G43"/>
    <mergeCell ref="B38:G38"/>
    <mergeCell ref="B39:G39"/>
  </mergeCells>
  <pageMargins left="0.75" right="0.75" top="1" bottom="1" header="0.511811023622047" footer="0.511811023622047"/>
  <pageSetup paperSize="9" orientation="portrait" horizontalDpi="300" verticalDpi="300"/>
  <ignoredErrors>
    <ignoredError sqref="F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B6CA8"/>
  </sheetPr>
  <dimension ref="A1:IB703"/>
  <sheetViews>
    <sheetView zoomScaleNormal="100" workbookViewId="0">
      <pane xSplit="2" ySplit="4" topLeftCell="C5" activePane="bottomRight" state="frozen"/>
      <selection activeCell="V18" sqref="V18"/>
      <selection pane="topRight" activeCell="V18" sqref="V18"/>
      <selection pane="bottomLeft" activeCell="V18" sqref="V18"/>
      <selection pane="bottomRight" activeCell="V18" sqref="V18"/>
    </sheetView>
  </sheetViews>
  <sheetFormatPr baseColWidth="10" defaultColWidth="8.6640625" defaultRowHeight="14" x14ac:dyDescent="0.2"/>
  <cols>
    <col min="1" max="1" width="7.6640625" style="10" customWidth="1"/>
    <col min="2" max="2" width="31.5" style="12" customWidth="1"/>
    <col min="3" max="3" width="12" style="12" bestFit="1" customWidth="1"/>
    <col min="4" max="4" width="20.6640625" style="74" customWidth="1"/>
    <col min="5" max="5" width="50.5" style="12" bestFit="1" customWidth="1"/>
    <col min="6" max="6" width="2" style="10" customWidth="1"/>
    <col min="7" max="7" width="2" style="12" customWidth="1"/>
    <col min="8" max="8" width="31.5" style="12" customWidth="1"/>
    <col min="9" max="10" width="8.6640625" style="12"/>
    <col min="11" max="13" width="8.6640625" style="10"/>
    <col min="14" max="14" width="6.5" style="10" customWidth="1"/>
    <col min="15" max="236" width="8.6640625" style="10"/>
    <col min="237" max="16384" width="8.6640625" style="12"/>
  </cols>
  <sheetData>
    <row r="1" spans="2:12" ht="12" customHeight="1" x14ac:dyDescent="0.2">
      <c r="B1" s="228" t="s">
        <v>365</v>
      </c>
      <c r="C1" s="228"/>
      <c r="D1" s="228"/>
      <c r="E1" s="228"/>
      <c r="G1" s="228" t="s">
        <v>45</v>
      </c>
      <c r="H1" s="228"/>
      <c r="I1" s="228"/>
      <c r="J1" s="228"/>
    </row>
    <row r="2" spans="2:12" ht="12" customHeight="1" x14ac:dyDescent="0.2">
      <c r="B2" s="251" t="s">
        <v>46</v>
      </c>
      <c r="C2" s="251"/>
      <c r="D2" s="251"/>
      <c r="E2" s="251"/>
      <c r="G2" s="36" t="s">
        <v>47</v>
      </c>
      <c r="H2" s="37" t="s">
        <v>372</v>
      </c>
      <c r="I2" s="37"/>
      <c r="J2" s="37"/>
    </row>
    <row r="3" spans="2:12" s="10" customFormat="1" ht="12" customHeight="1" x14ac:dyDescent="0.2">
      <c r="D3" s="73"/>
      <c r="G3" s="38" t="s">
        <v>47</v>
      </c>
      <c r="H3" s="37" t="s">
        <v>373</v>
      </c>
      <c r="I3" s="37"/>
      <c r="J3" s="37"/>
    </row>
    <row r="4" spans="2:12" s="10" customFormat="1" ht="12" customHeight="1" x14ac:dyDescent="0.2">
      <c r="D4" s="73"/>
      <c r="G4" s="39" t="s">
        <v>47</v>
      </c>
      <c r="H4" s="37" t="s">
        <v>374</v>
      </c>
      <c r="I4" s="37"/>
      <c r="J4" s="37"/>
    </row>
    <row r="5" spans="2:12" s="10" customFormat="1" ht="4" customHeight="1" x14ac:dyDescent="0.2">
      <c r="D5" s="73"/>
      <c r="G5" s="39"/>
      <c r="H5" s="37"/>
      <c r="I5" s="37"/>
      <c r="J5" s="37"/>
    </row>
    <row r="6" spans="2:12" x14ac:dyDescent="0.2">
      <c r="B6" s="252" t="s">
        <v>48</v>
      </c>
      <c r="C6" s="252"/>
      <c r="D6" s="252"/>
      <c r="E6" s="252"/>
      <c r="G6" s="39"/>
      <c r="H6" s="37"/>
      <c r="I6" s="37"/>
    </row>
    <row r="7" spans="2:12" ht="15" x14ac:dyDescent="0.2">
      <c r="B7" s="47" t="s">
        <v>49</v>
      </c>
      <c r="C7" s="47" t="s">
        <v>24</v>
      </c>
      <c r="D7" s="11" t="s">
        <v>50</v>
      </c>
      <c r="E7" s="47" t="s">
        <v>51</v>
      </c>
      <c r="G7" s="39"/>
      <c r="H7" s="37"/>
      <c r="I7" s="37"/>
      <c r="J7" s="10"/>
    </row>
    <row r="8" spans="2:12" s="10" customFormat="1" ht="15" x14ac:dyDescent="0.2">
      <c r="B8" s="2" t="s">
        <v>52</v>
      </c>
      <c r="C8" s="120">
        <v>450</v>
      </c>
      <c r="D8" s="100" t="s">
        <v>53</v>
      </c>
      <c r="E8" s="44" t="s">
        <v>54</v>
      </c>
      <c r="G8" s="39"/>
      <c r="H8" s="37"/>
      <c r="I8" s="37"/>
    </row>
    <row r="9" spans="2:12" s="10" customFormat="1" ht="15" x14ac:dyDescent="0.2">
      <c r="B9" s="2" t="s">
        <v>55</v>
      </c>
      <c r="C9" s="121">
        <v>3.4</v>
      </c>
      <c r="D9" s="122" t="s">
        <v>56</v>
      </c>
      <c r="E9" s="123" t="s">
        <v>375</v>
      </c>
      <c r="F9" s="116"/>
      <c r="G9" s="124"/>
      <c r="H9" s="125"/>
      <c r="I9" s="125"/>
      <c r="J9" s="116"/>
      <c r="K9" s="116"/>
      <c r="L9" s="116"/>
    </row>
    <row r="10" spans="2:12" s="10" customFormat="1" ht="15" x14ac:dyDescent="0.2">
      <c r="B10" s="2" t="s">
        <v>57</v>
      </c>
      <c r="C10" s="120">
        <v>2022</v>
      </c>
      <c r="D10" s="100" t="s">
        <v>18</v>
      </c>
      <c r="E10" s="44" t="s">
        <v>54</v>
      </c>
      <c r="G10" s="39"/>
      <c r="H10" s="37"/>
      <c r="I10" s="37"/>
    </row>
    <row r="11" spans="2:12" s="10" customFormat="1" ht="15" x14ac:dyDescent="0.2">
      <c r="B11" s="2" t="s">
        <v>58</v>
      </c>
      <c r="C11" s="120">
        <v>2048</v>
      </c>
      <c r="D11" s="100" t="s">
        <v>18</v>
      </c>
      <c r="E11" s="44" t="s">
        <v>59</v>
      </c>
      <c r="G11" s="39"/>
      <c r="H11" s="37"/>
      <c r="I11" s="37"/>
    </row>
    <row r="12" spans="2:12" s="10" customFormat="1" ht="30" x14ac:dyDescent="0.2">
      <c r="B12" s="2" t="s">
        <v>60</v>
      </c>
      <c r="C12" s="99">
        <v>7.0000000000000007E-2</v>
      </c>
      <c r="D12" s="100" t="s">
        <v>22</v>
      </c>
      <c r="E12" s="44" t="s">
        <v>376</v>
      </c>
      <c r="G12" s="39"/>
      <c r="H12" s="37"/>
      <c r="I12" s="37"/>
    </row>
    <row r="13" spans="2:12" s="10" customFormat="1" ht="35" customHeight="1" x14ac:dyDescent="0.2">
      <c r="B13" s="2" t="s">
        <v>61</v>
      </c>
      <c r="C13" s="120">
        <v>13.01</v>
      </c>
      <c r="D13" s="100" t="s">
        <v>62</v>
      </c>
      <c r="E13" s="44" t="s">
        <v>63</v>
      </c>
      <c r="G13" s="39"/>
      <c r="H13" s="37"/>
      <c r="I13" s="37"/>
    </row>
    <row r="14" spans="2:12" s="116" customFormat="1" x14ac:dyDescent="0.2">
      <c r="B14" s="126" t="s">
        <v>64</v>
      </c>
      <c r="C14" s="121">
        <v>52.15</v>
      </c>
      <c r="D14" s="122" t="s">
        <v>65</v>
      </c>
      <c r="E14" s="123" t="s">
        <v>377</v>
      </c>
      <c r="G14" s="124"/>
      <c r="H14" s="125"/>
      <c r="I14" s="125"/>
    </row>
    <row r="15" spans="2:12" s="10" customFormat="1" x14ac:dyDescent="0.2">
      <c r="D15" s="73"/>
      <c r="G15" s="39"/>
      <c r="H15" s="37"/>
      <c r="I15" s="37"/>
    </row>
    <row r="16" spans="2:12" x14ac:dyDescent="0.2">
      <c r="B16" s="252" t="s">
        <v>378</v>
      </c>
      <c r="C16" s="252"/>
      <c r="D16" s="252"/>
      <c r="E16" s="252"/>
      <c r="G16" s="39"/>
      <c r="H16" s="37"/>
      <c r="I16" s="37"/>
      <c r="J16" s="10"/>
    </row>
    <row r="17" spans="2:10" ht="15" x14ac:dyDescent="0.2">
      <c r="B17" s="47" t="s">
        <v>49</v>
      </c>
      <c r="C17" s="47" t="s">
        <v>24</v>
      </c>
      <c r="D17" s="11" t="s">
        <v>50</v>
      </c>
      <c r="E17" s="6" t="s">
        <v>51</v>
      </c>
      <c r="G17" s="10"/>
      <c r="H17" s="10"/>
      <c r="I17" s="10"/>
      <c r="J17" s="10"/>
    </row>
    <row r="18" spans="2:10" s="10" customFormat="1" ht="30" x14ac:dyDescent="0.2">
      <c r="B18" s="2" t="s">
        <v>379</v>
      </c>
      <c r="C18" s="127">
        <v>2172.4760999999999</v>
      </c>
      <c r="D18" s="100" t="s">
        <v>21</v>
      </c>
      <c r="E18" s="44" t="s">
        <v>522</v>
      </c>
    </row>
    <row r="19" spans="2:10" s="10" customFormat="1" ht="30" x14ac:dyDescent="0.2">
      <c r="B19" s="2" t="s">
        <v>66</v>
      </c>
      <c r="C19" s="127">
        <v>9496.7983999999997</v>
      </c>
      <c r="D19" s="100" t="s">
        <v>21</v>
      </c>
      <c r="E19" s="44" t="s">
        <v>522</v>
      </c>
    </row>
    <row r="20" spans="2:10" s="10" customFormat="1" ht="15" x14ac:dyDescent="0.2">
      <c r="B20" s="2" t="s">
        <v>523</v>
      </c>
      <c r="C20" s="127">
        <v>1535.577</v>
      </c>
      <c r="D20" s="100"/>
      <c r="E20" s="44" t="s">
        <v>522</v>
      </c>
    </row>
    <row r="21" spans="2:10" s="10" customFormat="1" ht="45" x14ac:dyDescent="0.2">
      <c r="B21" s="2" t="s">
        <v>67</v>
      </c>
      <c r="C21" s="128">
        <f>C18+C19+C20</f>
        <v>13204.851499999999</v>
      </c>
      <c r="D21" s="100" t="s">
        <v>21</v>
      </c>
      <c r="E21" s="44" t="s">
        <v>526</v>
      </c>
    </row>
    <row r="22" spans="2:10" s="10" customFormat="1" ht="45" x14ac:dyDescent="0.2">
      <c r="B22" s="2" t="s">
        <v>524</v>
      </c>
      <c r="C22" s="127">
        <v>638.06399999999996</v>
      </c>
      <c r="D22" s="100" t="s">
        <v>178</v>
      </c>
      <c r="E22" s="44" t="s">
        <v>527</v>
      </c>
    </row>
    <row r="23" spans="2:10" s="10" customFormat="1" ht="30" x14ac:dyDescent="0.2">
      <c r="B23" s="2" t="s">
        <v>68</v>
      </c>
      <c r="C23" s="314">
        <v>0.99803602560050864</v>
      </c>
      <c r="D23" s="100" t="s">
        <v>22</v>
      </c>
      <c r="E23" s="44" t="s">
        <v>525</v>
      </c>
    </row>
    <row r="24" spans="2:10" s="10" customFormat="1" x14ac:dyDescent="0.2">
      <c r="D24" s="73"/>
    </row>
    <row r="25" spans="2:10" x14ac:dyDescent="0.2">
      <c r="B25" s="252" t="s">
        <v>380</v>
      </c>
      <c r="C25" s="252"/>
      <c r="D25" s="252"/>
      <c r="E25" s="252"/>
      <c r="G25" s="10"/>
      <c r="H25" s="10"/>
      <c r="I25" s="10"/>
      <c r="J25" s="10"/>
    </row>
    <row r="26" spans="2:10" ht="15" x14ac:dyDescent="0.2">
      <c r="B26" s="47" t="s">
        <v>49</v>
      </c>
      <c r="C26" s="47" t="s">
        <v>24</v>
      </c>
      <c r="D26" s="11" t="s">
        <v>50</v>
      </c>
      <c r="E26" s="47" t="s">
        <v>51</v>
      </c>
      <c r="G26" s="10"/>
      <c r="H26" s="10"/>
      <c r="I26" s="10"/>
      <c r="J26" s="10"/>
    </row>
    <row r="27" spans="2:10" s="10" customFormat="1" ht="15" x14ac:dyDescent="0.2">
      <c r="B27" s="2" t="s">
        <v>25</v>
      </c>
      <c r="C27" s="99">
        <v>0.02</v>
      </c>
      <c r="D27" s="100" t="s">
        <v>22</v>
      </c>
      <c r="E27" s="44" t="s">
        <v>381</v>
      </c>
    </row>
    <row r="28" spans="2:10" s="10" customFormat="1" ht="15" x14ac:dyDescent="0.2">
      <c r="B28" s="2" t="s">
        <v>69</v>
      </c>
      <c r="C28" s="99">
        <v>0.75</v>
      </c>
      <c r="D28" s="100" t="s">
        <v>22</v>
      </c>
      <c r="E28" s="44" t="s">
        <v>70</v>
      </c>
    </row>
    <row r="29" spans="2:10" s="10" customFormat="1" ht="15" x14ac:dyDescent="0.2">
      <c r="B29" s="2" t="s">
        <v>71</v>
      </c>
      <c r="C29" s="99">
        <v>0.1</v>
      </c>
      <c r="D29" s="100" t="s">
        <v>22</v>
      </c>
      <c r="E29" s="44" t="s">
        <v>72</v>
      </c>
    </row>
    <row r="30" spans="2:10" s="10" customFormat="1" ht="15" x14ac:dyDescent="0.2">
      <c r="B30" s="2" t="s">
        <v>73</v>
      </c>
      <c r="C30" s="99">
        <v>0.24</v>
      </c>
      <c r="D30" s="100" t="s">
        <v>22</v>
      </c>
      <c r="E30" s="44" t="s">
        <v>382</v>
      </c>
    </row>
    <row r="31" spans="2:10" s="10" customFormat="1" ht="15" x14ac:dyDescent="0.2">
      <c r="B31" s="2" t="s">
        <v>74</v>
      </c>
      <c r="C31" s="99">
        <v>0.32</v>
      </c>
      <c r="D31" s="100" t="s">
        <v>22</v>
      </c>
      <c r="E31" s="44" t="s">
        <v>75</v>
      </c>
    </row>
    <row r="32" spans="2:10" s="10" customFormat="1" x14ac:dyDescent="0.2">
      <c r="D32" s="73"/>
    </row>
    <row r="33" spans="1:236" x14ac:dyDescent="0.2">
      <c r="B33" s="252" t="s">
        <v>383</v>
      </c>
      <c r="C33" s="252"/>
      <c r="D33" s="252"/>
      <c r="E33" s="252"/>
      <c r="G33" s="10"/>
      <c r="H33" s="10"/>
      <c r="I33" s="10"/>
      <c r="J33" s="10"/>
    </row>
    <row r="34" spans="1:236" s="117" customFormat="1" x14ac:dyDescent="0.2">
      <c r="A34" s="116"/>
      <c r="B34" s="129" t="s">
        <v>76</v>
      </c>
      <c r="C34" s="129" t="s">
        <v>77</v>
      </c>
      <c r="D34" s="130" t="s">
        <v>78</v>
      </c>
      <c r="E34" s="129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  <c r="FF34" s="116"/>
      <c r="FG34" s="116"/>
      <c r="FH34" s="116"/>
      <c r="FI34" s="116"/>
      <c r="FJ34" s="116"/>
      <c r="FK34" s="116"/>
      <c r="FL34" s="116"/>
      <c r="FM34" s="116"/>
      <c r="FN34" s="116"/>
      <c r="FO34" s="116"/>
      <c r="FP34" s="116"/>
      <c r="FQ34" s="116"/>
      <c r="FR34" s="116"/>
      <c r="FS34" s="116"/>
      <c r="FT34" s="116"/>
      <c r="FU34" s="116"/>
      <c r="FV34" s="116"/>
      <c r="FW34" s="116"/>
      <c r="FX34" s="116"/>
      <c r="FY34" s="116"/>
      <c r="FZ34" s="116"/>
      <c r="GA34" s="116"/>
      <c r="GB34" s="116"/>
      <c r="GC34" s="116"/>
      <c r="GD34" s="116"/>
      <c r="GE34" s="116"/>
      <c r="GF34" s="116"/>
      <c r="GG34" s="116"/>
      <c r="GH34" s="116"/>
      <c r="GI34" s="116"/>
      <c r="GJ34" s="116"/>
      <c r="GK34" s="116"/>
      <c r="GL34" s="116"/>
      <c r="GM34" s="116"/>
      <c r="GN34" s="116"/>
      <c r="GO34" s="116"/>
      <c r="GP34" s="116"/>
      <c r="GQ34" s="116"/>
      <c r="GR34" s="116"/>
      <c r="GS34" s="116"/>
      <c r="GT34" s="116"/>
      <c r="GU34" s="116"/>
      <c r="GV34" s="116"/>
      <c r="GW34" s="116"/>
      <c r="GX34" s="116"/>
      <c r="GY34" s="116"/>
      <c r="GZ34" s="116"/>
      <c r="HA34" s="116"/>
      <c r="HB34" s="116"/>
      <c r="HC34" s="116"/>
      <c r="HD34" s="116"/>
      <c r="HE34" s="116"/>
      <c r="HF34" s="116"/>
      <c r="HG34" s="116"/>
      <c r="HH34" s="116"/>
      <c r="HI34" s="116"/>
      <c r="HJ34" s="116"/>
      <c r="HK34" s="116"/>
      <c r="HL34" s="116"/>
      <c r="HM34" s="116"/>
      <c r="HN34" s="116"/>
      <c r="HO34" s="116"/>
      <c r="HP34" s="116"/>
      <c r="HQ34" s="116"/>
      <c r="HR34" s="116"/>
      <c r="HS34" s="116"/>
      <c r="HT34" s="116"/>
      <c r="HU34" s="116"/>
      <c r="HV34" s="116"/>
      <c r="HW34" s="116"/>
      <c r="HX34" s="116"/>
      <c r="HY34" s="116"/>
      <c r="HZ34" s="116"/>
      <c r="IA34" s="116"/>
      <c r="IB34" s="116"/>
    </row>
    <row r="35" spans="1:236" s="10" customFormat="1" ht="15" x14ac:dyDescent="0.2">
      <c r="B35" s="2" t="s">
        <v>79</v>
      </c>
      <c r="C35" s="99">
        <v>0.15</v>
      </c>
      <c r="D35" s="131">
        <v>0.85</v>
      </c>
      <c r="E35" s="44" t="s">
        <v>80</v>
      </c>
    </row>
    <row r="36" spans="1:236" s="10" customFormat="1" ht="15" x14ac:dyDescent="0.2">
      <c r="B36" s="2" t="s">
        <v>81</v>
      </c>
      <c r="C36" s="99">
        <v>0.25</v>
      </c>
      <c r="D36" s="131">
        <v>0.75</v>
      </c>
      <c r="E36" s="44" t="s">
        <v>80</v>
      </c>
    </row>
    <row r="37" spans="1:236" s="10" customFormat="1" ht="15" x14ac:dyDescent="0.2">
      <c r="B37" s="2" t="s">
        <v>82</v>
      </c>
      <c r="C37" s="99">
        <v>0.35</v>
      </c>
      <c r="D37" s="131">
        <v>0.65</v>
      </c>
      <c r="E37" s="44" t="s">
        <v>80</v>
      </c>
    </row>
    <row r="38" spans="1:236" s="10" customFormat="1" ht="15" x14ac:dyDescent="0.2">
      <c r="B38" s="2" t="s">
        <v>83</v>
      </c>
      <c r="C38" s="99">
        <v>0.45</v>
      </c>
      <c r="D38" s="131">
        <v>0.55000000000000004</v>
      </c>
      <c r="E38" s="44" t="s">
        <v>80</v>
      </c>
    </row>
    <row r="39" spans="1:236" s="10" customFormat="1" ht="15" x14ac:dyDescent="0.2">
      <c r="B39" s="2" t="s">
        <v>84</v>
      </c>
      <c r="C39" s="99">
        <v>0.55000000000000004</v>
      </c>
      <c r="D39" s="131">
        <v>0.45</v>
      </c>
      <c r="E39" s="44" t="s">
        <v>80</v>
      </c>
    </row>
    <row r="40" spans="1:236" s="10" customFormat="1" x14ac:dyDescent="0.2">
      <c r="D40" s="73"/>
    </row>
    <row r="41" spans="1:236" x14ac:dyDescent="0.2">
      <c r="B41" s="252" t="s">
        <v>85</v>
      </c>
      <c r="C41" s="252"/>
      <c r="D41" s="252"/>
      <c r="E41" s="252"/>
      <c r="G41" s="10"/>
      <c r="H41" s="10"/>
      <c r="I41" s="10"/>
      <c r="J41" s="10"/>
    </row>
    <row r="42" spans="1:236" ht="15" x14ac:dyDescent="0.2">
      <c r="B42" s="47" t="s">
        <v>36</v>
      </c>
      <c r="C42" s="47" t="s">
        <v>37</v>
      </c>
      <c r="D42" s="11" t="s">
        <v>86</v>
      </c>
      <c r="E42" s="47" t="s">
        <v>87</v>
      </c>
      <c r="G42" s="10"/>
      <c r="H42" s="10"/>
      <c r="I42" s="10"/>
      <c r="J42" s="10"/>
    </row>
    <row r="43" spans="1:236" s="10" customFormat="1" ht="15" x14ac:dyDescent="0.2">
      <c r="B43" s="2" t="s">
        <v>88</v>
      </c>
      <c r="C43" s="127">
        <v>8</v>
      </c>
      <c r="D43" s="100" t="s">
        <v>89</v>
      </c>
      <c r="E43" s="44" t="s">
        <v>384</v>
      </c>
    </row>
    <row r="44" spans="1:236" s="10" customFormat="1" ht="15" x14ac:dyDescent="0.2">
      <c r="B44" s="41" t="s">
        <v>90</v>
      </c>
      <c r="C44" s="127">
        <v>12</v>
      </c>
      <c r="D44" s="100" t="s">
        <v>89</v>
      </c>
      <c r="E44" s="44" t="s">
        <v>385</v>
      </c>
    </row>
    <row r="45" spans="1:236" s="10" customFormat="1" ht="15" x14ac:dyDescent="0.2">
      <c r="B45" s="2" t="s">
        <v>91</v>
      </c>
      <c r="C45" s="127">
        <v>16</v>
      </c>
      <c r="D45" s="100" t="s">
        <v>89</v>
      </c>
      <c r="E45" s="44" t="s">
        <v>386</v>
      </c>
    </row>
    <row r="46" spans="1:236" s="10" customFormat="1" ht="30" x14ac:dyDescent="0.2">
      <c r="B46" s="2" t="s">
        <v>43</v>
      </c>
      <c r="C46" s="120" t="s">
        <v>44</v>
      </c>
      <c r="D46" s="100" t="s">
        <v>92</v>
      </c>
      <c r="E46" s="44" t="s">
        <v>93</v>
      </c>
    </row>
    <row r="47" spans="1:236" s="10" customFormat="1" x14ac:dyDescent="0.2">
      <c r="B47" s="253" t="s">
        <v>94</v>
      </c>
      <c r="C47" s="253"/>
      <c r="D47" s="253"/>
      <c r="E47" s="253"/>
    </row>
    <row r="48" spans="1:236" s="10" customFormat="1" ht="63" customHeight="1" x14ac:dyDescent="0.2">
      <c r="B48" s="254" t="s">
        <v>413</v>
      </c>
      <c r="C48" s="254"/>
      <c r="D48" s="254"/>
      <c r="E48" s="254"/>
    </row>
    <row r="49" spans="2:10" x14ac:dyDescent="0.2">
      <c r="B49" s="252" t="s">
        <v>95</v>
      </c>
      <c r="C49" s="252"/>
      <c r="D49" s="252"/>
      <c r="E49" s="252"/>
      <c r="G49" s="10"/>
      <c r="H49" s="10"/>
      <c r="I49" s="10"/>
      <c r="J49" s="10"/>
    </row>
    <row r="50" spans="2:10" ht="15" x14ac:dyDescent="0.2">
      <c r="B50" s="47" t="s">
        <v>49</v>
      </c>
      <c r="C50" s="47" t="s">
        <v>24</v>
      </c>
      <c r="D50" s="11" t="s">
        <v>50</v>
      </c>
      <c r="E50" s="47" t="s">
        <v>51</v>
      </c>
      <c r="G50" s="10"/>
      <c r="H50" s="10"/>
      <c r="I50" s="10"/>
      <c r="J50" s="10"/>
    </row>
    <row r="51" spans="2:10" s="10" customFormat="1" ht="30" x14ac:dyDescent="0.2">
      <c r="B51" s="2" t="s">
        <v>96</v>
      </c>
      <c r="C51" s="132" t="s">
        <v>97</v>
      </c>
      <c r="D51" s="100" t="s">
        <v>62</v>
      </c>
      <c r="E51" s="44" t="s">
        <v>98</v>
      </c>
    </row>
    <row r="52" spans="2:10" s="10" customFormat="1" ht="15" x14ac:dyDescent="0.2">
      <c r="B52" s="2" t="s">
        <v>99</v>
      </c>
      <c r="C52" s="133">
        <v>3.37</v>
      </c>
      <c r="D52" s="100" t="s">
        <v>56</v>
      </c>
      <c r="E52" s="44" t="s">
        <v>100</v>
      </c>
    </row>
    <row r="53" spans="2:10" s="10" customFormat="1" ht="15" x14ac:dyDescent="0.2">
      <c r="B53" s="2" t="s">
        <v>101</v>
      </c>
      <c r="C53" s="99">
        <v>7.0000000000000007E-2</v>
      </c>
      <c r="D53" s="100" t="s">
        <v>22</v>
      </c>
      <c r="E53" s="44" t="s">
        <v>528</v>
      </c>
    </row>
    <row r="54" spans="2:10" s="10" customFormat="1" ht="15" x14ac:dyDescent="0.2">
      <c r="B54" s="2" t="s">
        <v>102</v>
      </c>
      <c r="C54" s="120">
        <v>2033</v>
      </c>
      <c r="D54" s="100" t="s">
        <v>18</v>
      </c>
      <c r="E54" s="44" t="s">
        <v>103</v>
      </c>
    </row>
    <row r="55" spans="2:10" s="10" customFormat="1" ht="15" x14ac:dyDescent="0.2">
      <c r="B55" s="2" t="s">
        <v>104</v>
      </c>
      <c r="C55" s="133">
        <v>66.88</v>
      </c>
      <c r="D55" s="100" t="s">
        <v>62</v>
      </c>
      <c r="E55" s="44" t="s">
        <v>105</v>
      </c>
    </row>
    <row r="56" spans="2:10" s="10" customFormat="1" x14ac:dyDescent="0.2">
      <c r="D56" s="73"/>
    </row>
    <row r="57" spans="2:10" x14ac:dyDescent="0.2">
      <c r="B57" s="252" t="s">
        <v>106</v>
      </c>
      <c r="C57" s="252"/>
      <c r="D57" s="252"/>
      <c r="E57" s="252"/>
      <c r="G57" s="10"/>
      <c r="H57" s="10"/>
      <c r="I57" s="10"/>
      <c r="J57" s="10"/>
    </row>
    <row r="58" spans="2:10" ht="15" x14ac:dyDescent="0.2">
      <c r="B58" s="47" t="s">
        <v>49</v>
      </c>
      <c r="C58" s="47" t="s">
        <v>24</v>
      </c>
      <c r="D58" s="11" t="s">
        <v>50</v>
      </c>
      <c r="E58" s="47" t="s">
        <v>51</v>
      </c>
      <c r="G58" s="10"/>
      <c r="H58" s="10"/>
      <c r="I58" s="10"/>
      <c r="J58" s="10"/>
    </row>
    <row r="59" spans="2:10" s="10" customFormat="1" ht="15" x14ac:dyDescent="0.2">
      <c r="B59" s="2" t="s">
        <v>107</v>
      </c>
      <c r="C59" s="61">
        <v>551</v>
      </c>
      <c r="D59" s="100" t="s">
        <v>21</v>
      </c>
      <c r="E59" s="44" t="s">
        <v>108</v>
      </c>
    </row>
    <row r="60" spans="2:10" s="10" customFormat="1" ht="15" x14ac:dyDescent="0.2">
      <c r="B60" s="2" t="s">
        <v>109</v>
      </c>
      <c r="C60" s="61">
        <v>805</v>
      </c>
      <c r="D60" s="100" t="s">
        <v>21</v>
      </c>
      <c r="E60" s="44" t="s">
        <v>108</v>
      </c>
    </row>
    <row r="61" spans="2:10" s="10" customFormat="1" ht="15" x14ac:dyDescent="0.2">
      <c r="B61" s="2" t="s">
        <v>110</v>
      </c>
      <c r="C61" s="61">
        <v>1356</v>
      </c>
      <c r="D61" s="100" t="s">
        <v>21</v>
      </c>
      <c r="E61" s="44" t="s">
        <v>111</v>
      </c>
    </row>
    <row r="62" spans="2:10" s="10" customFormat="1" ht="15" x14ac:dyDescent="0.2">
      <c r="B62" s="2" t="s">
        <v>112</v>
      </c>
      <c r="C62" s="99">
        <v>0.06</v>
      </c>
      <c r="D62" s="100" t="s">
        <v>22</v>
      </c>
      <c r="E62" s="44" t="s">
        <v>113</v>
      </c>
    </row>
    <row r="63" spans="2:10" s="10" customFormat="1" x14ac:dyDescent="0.2">
      <c r="D63" s="73"/>
    </row>
    <row r="64" spans="2:10" s="10" customFormat="1" x14ac:dyDescent="0.2">
      <c r="D64" s="73"/>
    </row>
    <row r="65" spans="4:4" s="10" customFormat="1" x14ac:dyDescent="0.2">
      <c r="D65" s="73"/>
    </row>
    <row r="66" spans="4:4" s="10" customFormat="1" x14ac:dyDescent="0.2">
      <c r="D66" s="73"/>
    </row>
    <row r="67" spans="4:4" s="10" customFormat="1" x14ac:dyDescent="0.2">
      <c r="D67" s="73"/>
    </row>
    <row r="68" spans="4:4" s="10" customFormat="1" x14ac:dyDescent="0.2">
      <c r="D68" s="73"/>
    </row>
    <row r="69" spans="4:4" s="10" customFormat="1" x14ac:dyDescent="0.2">
      <c r="D69" s="73"/>
    </row>
    <row r="70" spans="4:4" s="10" customFormat="1" x14ac:dyDescent="0.2">
      <c r="D70" s="73"/>
    </row>
    <row r="71" spans="4:4" s="10" customFormat="1" x14ac:dyDescent="0.2">
      <c r="D71" s="73"/>
    </row>
    <row r="72" spans="4:4" s="10" customFormat="1" x14ac:dyDescent="0.2">
      <c r="D72" s="73"/>
    </row>
    <row r="73" spans="4:4" s="10" customFormat="1" x14ac:dyDescent="0.2">
      <c r="D73" s="73"/>
    </row>
    <row r="74" spans="4:4" s="10" customFormat="1" x14ac:dyDescent="0.2">
      <c r="D74" s="73"/>
    </row>
    <row r="75" spans="4:4" s="10" customFormat="1" x14ac:dyDescent="0.2">
      <c r="D75" s="73"/>
    </row>
    <row r="76" spans="4:4" s="10" customFormat="1" x14ac:dyDescent="0.2">
      <c r="D76" s="73"/>
    </row>
    <row r="77" spans="4:4" s="10" customFormat="1" x14ac:dyDescent="0.2">
      <c r="D77" s="73"/>
    </row>
    <row r="78" spans="4:4" s="10" customFormat="1" x14ac:dyDescent="0.2">
      <c r="D78" s="73"/>
    </row>
    <row r="79" spans="4:4" s="10" customFormat="1" x14ac:dyDescent="0.2">
      <c r="D79" s="73"/>
    </row>
    <row r="80" spans="4:4" s="10" customFormat="1" x14ac:dyDescent="0.2">
      <c r="D80" s="73"/>
    </row>
    <row r="81" spans="4:4" s="10" customFormat="1" x14ac:dyDescent="0.2">
      <c r="D81" s="73"/>
    </row>
    <row r="82" spans="4:4" s="10" customFormat="1" x14ac:dyDescent="0.2">
      <c r="D82" s="73"/>
    </row>
    <row r="83" spans="4:4" s="10" customFormat="1" x14ac:dyDescent="0.2">
      <c r="D83" s="73"/>
    </row>
    <row r="84" spans="4:4" s="10" customFormat="1" x14ac:dyDescent="0.2">
      <c r="D84" s="73"/>
    </row>
    <row r="85" spans="4:4" s="10" customFormat="1" x14ac:dyDescent="0.2">
      <c r="D85" s="73"/>
    </row>
    <row r="86" spans="4:4" s="10" customFormat="1" x14ac:dyDescent="0.2">
      <c r="D86" s="73"/>
    </row>
    <row r="87" spans="4:4" s="10" customFormat="1" x14ac:dyDescent="0.2">
      <c r="D87" s="73"/>
    </row>
    <row r="88" spans="4:4" s="10" customFormat="1" x14ac:dyDescent="0.2">
      <c r="D88" s="73"/>
    </row>
    <row r="89" spans="4:4" s="10" customFormat="1" x14ac:dyDescent="0.2">
      <c r="D89" s="73"/>
    </row>
    <row r="90" spans="4:4" s="10" customFormat="1" x14ac:dyDescent="0.2">
      <c r="D90" s="73"/>
    </row>
    <row r="91" spans="4:4" s="10" customFormat="1" x14ac:dyDescent="0.2">
      <c r="D91" s="73"/>
    </row>
    <row r="92" spans="4:4" s="10" customFormat="1" x14ac:dyDescent="0.2">
      <c r="D92" s="73"/>
    </row>
    <row r="93" spans="4:4" s="10" customFormat="1" x14ac:dyDescent="0.2">
      <c r="D93" s="73"/>
    </row>
    <row r="94" spans="4:4" s="10" customFormat="1" x14ac:dyDescent="0.2">
      <c r="D94" s="73"/>
    </row>
    <row r="95" spans="4:4" s="10" customFormat="1" x14ac:dyDescent="0.2">
      <c r="D95" s="73"/>
    </row>
    <row r="96" spans="4:4" s="10" customFormat="1" x14ac:dyDescent="0.2">
      <c r="D96" s="73"/>
    </row>
    <row r="97" spans="4:4" s="10" customFormat="1" x14ac:dyDescent="0.2">
      <c r="D97" s="73"/>
    </row>
    <row r="98" spans="4:4" s="10" customFormat="1" x14ac:dyDescent="0.2">
      <c r="D98" s="73"/>
    </row>
    <row r="99" spans="4:4" s="10" customFormat="1" x14ac:dyDescent="0.2">
      <c r="D99" s="73"/>
    </row>
    <row r="100" spans="4:4" s="10" customFormat="1" x14ac:dyDescent="0.2">
      <c r="D100" s="73"/>
    </row>
    <row r="101" spans="4:4" s="10" customFormat="1" x14ac:dyDescent="0.2">
      <c r="D101" s="73"/>
    </row>
    <row r="102" spans="4:4" s="10" customFormat="1" x14ac:dyDescent="0.2">
      <c r="D102" s="73"/>
    </row>
    <row r="103" spans="4:4" s="10" customFormat="1" x14ac:dyDescent="0.2">
      <c r="D103" s="73"/>
    </row>
    <row r="104" spans="4:4" s="10" customFormat="1" x14ac:dyDescent="0.2">
      <c r="D104" s="73"/>
    </row>
    <row r="105" spans="4:4" s="10" customFormat="1" x14ac:dyDescent="0.2">
      <c r="D105" s="73"/>
    </row>
    <row r="106" spans="4:4" s="10" customFormat="1" x14ac:dyDescent="0.2">
      <c r="D106" s="73"/>
    </row>
    <row r="107" spans="4:4" s="10" customFormat="1" x14ac:dyDescent="0.2">
      <c r="D107" s="73"/>
    </row>
    <row r="108" spans="4:4" s="10" customFormat="1" x14ac:dyDescent="0.2">
      <c r="D108" s="73"/>
    </row>
    <row r="109" spans="4:4" s="10" customFormat="1" x14ac:dyDescent="0.2">
      <c r="D109" s="73"/>
    </row>
    <row r="110" spans="4:4" s="10" customFormat="1" x14ac:dyDescent="0.2">
      <c r="D110" s="73"/>
    </row>
    <row r="111" spans="4:4" s="10" customFormat="1" x14ac:dyDescent="0.2">
      <c r="D111" s="73"/>
    </row>
    <row r="112" spans="4:4" s="10" customFormat="1" x14ac:dyDescent="0.2">
      <c r="D112" s="73"/>
    </row>
    <row r="113" spans="4:4" s="10" customFormat="1" x14ac:dyDescent="0.2">
      <c r="D113" s="73"/>
    </row>
    <row r="114" spans="4:4" s="10" customFormat="1" x14ac:dyDescent="0.2">
      <c r="D114" s="73"/>
    </row>
    <row r="115" spans="4:4" s="10" customFormat="1" x14ac:dyDescent="0.2">
      <c r="D115" s="73"/>
    </row>
    <row r="116" spans="4:4" s="10" customFormat="1" x14ac:dyDescent="0.2">
      <c r="D116" s="73"/>
    </row>
    <row r="117" spans="4:4" s="10" customFormat="1" x14ac:dyDescent="0.2">
      <c r="D117" s="73"/>
    </row>
    <row r="118" spans="4:4" s="10" customFormat="1" x14ac:dyDescent="0.2">
      <c r="D118" s="73"/>
    </row>
    <row r="119" spans="4:4" s="10" customFormat="1" x14ac:dyDescent="0.2">
      <c r="D119" s="73"/>
    </row>
    <row r="120" spans="4:4" s="10" customFormat="1" x14ac:dyDescent="0.2">
      <c r="D120" s="73"/>
    </row>
    <row r="121" spans="4:4" s="10" customFormat="1" x14ac:dyDescent="0.2">
      <c r="D121" s="73"/>
    </row>
    <row r="122" spans="4:4" s="10" customFormat="1" x14ac:dyDescent="0.2">
      <c r="D122" s="73"/>
    </row>
    <row r="123" spans="4:4" s="10" customFormat="1" x14ac:dyDescent="0.2">
      <c r="D123" s="73"/>
    </row>
    <row r="124" spans="4:4" s="10" customFormat="1" x14ac:dyDescent="0.2">
      <c r="D124" s="73"/>
    </row>
    <row r="125" spans="4:4" s="10" customFormat="1" x14ac:dyDescent="0.2">
      <c r="D125" s="73"/>
    </row>
    <row r="126" spans="4:4" s="10" customFormat="1" x14ac:dyDescent="0.2">
      <c r="D126" s="73"/>
    </row>
    <row r="127" spans="4:4" s="10" customFormat="1" x14ac:dyDescent="0.2">
      <c r="D127" s="73"/>
    </row>
    <row r="128" spans="4:4" s="10" customFormat="1" x14ac:dyDescent="0.2">
      <c r="D128" s="73"/>
    </row>
    <row r="129" spans="4:4" s="10" customFormat="1" x14ac:dyDescent="0.2">
      <c r="D129" s="73"/>
    </row>
    <row r="130" spans="4:4" s="10" customFormat="1" x14ac:dyDescent="0.2">
      <c r="D130" s="73"/>
    </row>
    <row r="131" spans="4:4" s="10" customFormat="1" x14ac:dyDescent="0.2">
      <c r="D131" s="73"/>
    </row>
    <row r="132" spans="4:4" s="10" customFormat="1" x14ac:dyDescent="0.2">
      <c r="D132" s="73"/>
    </row>
    <row r="133" spans="4:4" s="10" customFormat="1" x14ac:dyDescent="0.2">
      <c r="D133" s="73"/>
    </row>
    <row r="134" spans="4:4" s="10" customFormat="1" x14ac:dyDescent="0.2">
      <c r="D134" s="73"/>
    </row>
    <row r="135" spans="4:4" s="10" customFormat="1" x14ac:dyDescent="0.2">
      <c r="D135" s="73"/>
    </row>
    <row r="136" spans="4:4" s="10" customFormat="1" x14ac:dyDescent="0.2">
      <c r="D136" s="73"/>
    </row>
    <row r="137" spans="4:4" s="10" customFormat="1" x14ac:dyDescent="0.2">
      <c r="D137" s="73"/>
    </row>
    <row r="138" spans="4:4" s="10" customFormat="1" x14ac:dyDescent="0.2">
      <c r="D138" s="73"/>
    </row>
    <row r="139" spans="4:4" s="10" customFormat="1" x14ac:dyDescent="0.2">
      <c r="D139" s="73"/>
    </row>
    <row r="140" spans="4:4" s="10" customFormat="1" x14ac:dyDescent="0.2">
      <c r="D140" s="73"/>
    </row>
    <row r="141" spans="4:4" s="10" customFormat="1" x14ac:dyDescent="0.2">
      <c r="D141" s="73"/>
    </row>
    <row r="142" spans="4:4" s="10" customFormat="1" x14ac:dyDescent="0.2">
      <c r="D142" s="73"/>
    </row>
    <row r="143" spans="4:4" s="10" customFormat="1" x14ac:dyDescent="0.2">
      <c r="D143" s="73"/>
    </row>
    <row r="144" spans="4:4" s="10" customFormat="1" x14ac:dyDescent="0.2">
      <c r="D144" s="73"/>
    </row>
    <row r="145" spans="4:4" s="10" customFormat="1" x14ac:dyDescent="0.2">
      <c r="D145" s="73"/>
    </row>
    <row r="146" spans="4:4" s="10" customFormat="1" x14ac:dyDescent="0.2">
      <c r="D146" s="73"/>
    </row>
    <row r="147" spans="4:4" s="10" customFormat="1" x14ac:dyDescent="0.2">
      <c r="D147" s="73"/>
    </row>
    <row r="148" spans="4:4" s="10" customFormat="1" x14ac:dyDescent="0.2">
      <c r="D148" s="73"/>
    </row>
    <row r="149" spans="4:4" s="10" customFormat="1" x14ac:dyDescent="0.2">
      <c r="D149" s="73"/>
    </row>
    <row r="150" spans="4:4" s="10" customFormat="1" x14ac:dyDescent="0.2">
      <c r="D150" s="73"/>
    </row>
    <row r="151" spans="4:4" s="10" customFormat="1" x14ac:dyDescent="0.2">
      <c r="D151" s="73"/>
    </row>
    <row r="152" spans="4:4" s="10" customFormat="1" x14ac:dyDescent="0.2">
      <c r="D152" s="73"/>
    </row>
    <row r="153" spans="4:4" s="10" customFormat="1" x14ac:dyDescent="0.2">
      <c r="D153" s="73"/>
    </row>
    <row r="154" spans="4:4" s="10" customFormat="1" x14ac:dyDescent="0.2">
      <c r="D154" s="73"/>
    </row>
    <row r="155" spans="4:4" s="10" customFormat="1" x14ac:dyDescent="0.2">
      <c r="D155" s="73"/>
    </row>
    <row r="156" spans="4:4" s="10" customFormat="1" x14ac:dyDescent="0.2">
      <c r="D156" s="73"/>
    </row>
    <row r="157" spans="4:4" s="10" customFormat="1" x14ac:dyDescent="0.2">
      <c r="D157" s="73"/>
    </row>
    <row r="158" spans="4:4" s="10" customFormat="1" x14ac:dyDescent="0.2">
      <c r="D158" s="73"/>
    </row>
    <row r="159" spans="4:4" s="10" customFormat="1" x14ac:dyDescent="0.2">
      <c r="D159" s="73"/>
    </row>
    <row r="160" spans="4:4" s="10" customFormat="1" x14ac:dyDescent="0.2">
      <c r="D160" s="73"/>
    </row>
    <row r="161" spans="4:4" s="10" customFormat="1" x14ac:dyDescent="0.2">
      <c r="D161" s="73"/>
    </row>
    <row r="162" spans="4:4" s="10" customFormat="1" x14ac:dyDescent="0.2">
      <c r="D162" s="73"/>
    </row>
    <row r="163" spans="4:4" s="10" customFormat="1" x14ac:dyDescent="0.2">
      <c r="D163" s="73"/>
    </row>
    <row r="164" spans="4:4" s="10" customFormat="1" x14ac:dyDescent="0.2">
      <c r="D164" s="73"/>
    </row>
    <row r="165" spans="4:4" s="10" customFormat="1" x14ac:dyDescent="0.2">
      <c r="D165" s="73"/>
    </row>
    <row r="166" spans="4:4" s="10" customFormat="1" x14ac:dyDescent="0.2">
      <c r="D166" s="73"/>
    </row>
    <row r="167" spans="4:4" s="10" customFormat="1" x14ac:dyDescent="0.2">
      <c r="D167" s="73"/>
    </row>
    <row r="168" spans="4:4" s="10" customFormat="1" x14ac:dyDescent="0.2">
      <c r="D168" s="73"/>
    </row>
    <row r="169" spans="4:4" s="10" customFormat="1" x14ac:dyDescent="0.2">
      <c r="D169" s="73"/>
    </row>
    <row r="170" spans="4:4" s="10" customFormat="1" x14ac:dyDescent="0.2">
      <c r="D170" s="73"/>
    </row>
    <row r="171" spans="4:4" s="10" customFormat="1" x14ac:dyDescent="0.2">
      <c r="D171" s="73"/>
    </row>
    <row r="172" spans="4:4" s="10" customFormat="1" x14ac:dyDescent="0.2">
      <c r="D172" s="73"/>
    </row>
    <row r="173" spans="4:4" s="10" customFormat="1" x14ac:dyDescent="0.2">
      <c r="D173" s="73"/>
    </row>
    <row r="174" spans="4:4" s="10" customFormat="1" x14ac:dyDescent="0.2">
      <c r="D174" s="73"/>
    </row>
    <row r="175" spans="4:4" s="10" customFormat="1" x14ac:dyDescent="0.2">
      <c r="D175" s="73"/>
    </row>
    <row r="176" spans="4:4" s="10" customFormat="1" x14ac:dyDescent="0.2">
      <c r="D176" s="73"/>
    </row>
    <row r="177" spans="4:4" s="10" customFormat="1" x14ac:dyDescent="0.2">
      <c r="D177" s="73"/>
    </row>
    <row r="178" spans="4:4" s="10" customFormat="1" x14ac:dyDescent="0.2">
      <c r="D178" s="73"/>
    </row>
    <row r="179" spans="4:4" s="10" customFormat="1" x14ac:dyDescent="0.2">
      <c r="D179" s="73"/>
    </row>
    <row r="180" spans="4:4" s="10" customFormat="1" x14ac:dyDescent="0.2">
      <c r="D180" s="73"/>
    </row>
    <row r="181" spans="4:4" s="10" customFormat="1" x14ac:dyDescent="0.2">
      <c r="D181" s="73"/>
    </row>
    <row r="182" spans="4:4" s="10" customFormat="1" x14ac:dyDescent="0.2">
      <c r="D182" s="73"/>
    </row>
    <row r="183" spans="4:4" s="10" customFormat="1" x14ac:dyDescent="0.2">
      <c r="D183" s="73"/>
    </row>
    <row r="184" spans="4:4" s="10" customFormat="1" x14ac:dyDescent="0.2">
      <c r="D184" s="73"/>
    </row>
    <row r="185" spans="4:4" s="10" customFormat="1" x14ac:dyDescent="0.2">
      <c r="D185" s="73"/>
    </row>
    <row r="186" spans="4:4" s="10" customFormat="1" x14ac:dyDescent="0.2">
      <c r="D186" s="73"/>
    </row>
    <row r="187" spans="4:4" s="10" customFormat="1" x14ac:dyDescent="0.2">
      <c r="D187" s="73"/>
    </row>
    <row r="188" spans="4:4" s="10" customFormat="1" x14ac:dyDescent="0.2">
      <c r="D188" s="73"/>
    </row>
    <row r="189" spans="4:4" s="10" customFormat="1" x14ac:dyDescent="0.2">
      <c r="D189" s="73"/>
    </row>
    <row r="190" spans="4:4" s="10" customFormat="1" x14ac:dyDescent="0.2">
      <c r="D190" s="73"/>
    </row>
    <row r="191" spans="4:4" s="10" customFormat="1" x14ac:dyDescent="0.2">
      <c r="D191" s="73"/>
    </row>
    <row r="192" spans="4:4" s="10" customFormat="1" x14ac:dyDescent="0.2">
      <c r="D192" s="73"/>
    </row>
    <row r="193" spans="4:4" s="10" customFormat="1" x14ac:dyDescent="0.2">
      <c r="D193" s="73"/>
    </row>
    <row r="194" spans="4:4" s="10" customFormat="1" x14ac:dyDescent="0.2">
      <c r="D194" s="73"/>
    </row>
    <row r="195" spans="4:4" s="10" customFormat="1" x14ac:dyDescent="0.2">
      <c r="D195" s="73"/>
    </row>
    <row r="196" spans="4:4" s="10" customFormat="1" x14ac:dyDescent="0.2">
      <c r="D196" s="73"/>
    </row>
    <row r="197" spans="4:4" s="10" customFormat="1" x14ac:dyDescent="0.2">
      <c r="D197" s="73"/>
    </row>
    <row r="198" spans="4:4" s="10" customFormat="1" x14ac:dyDescent="0.2">
      <c r="D198" s="73"/>
    </row>
    <row r="199" spans="4:4" s="10" customFormat="1" x14ac:dyDescent="0.2">
      <c r="D199" s="73"/>
    </row>
    <row r="200" spans="4:4" s="10" customFormat="1" x14ac:dyDescent="0.2">
      <c r="D200" s="73"/>
    </row>
    <row r="201" spans="4:4" s="10" customFormat="1" x14ac:dyDescent="0.2">
      <c r="D201" s="73"/>
    </row>
    <row r="202" spans="4:4" s="10" customFormat="1" x14ac:dyDescent="0.2">
      <c r="D202" s="73"/>
    </row>
    <row r="203" spans="4:4" s="10" customFormat="1" x14ac:dyDescent="0.2">
      <c r="D203" s="73"/>
    </row>
    <row r="204" spans="4:4" s="10" customFormat="1" x14ac:dyDescent="0.2">
      <c r="D204" s="73"/>
    </row>
    <row r="205" spans="4:4" s="10" customFormat="1" x14ac:dyDescent="0.2">
      <c r="D205" s="73"/>
    </row>
    <row r="206" spans="4:4" s="10" customFormat="1" x14ac:dyDescent="0.2">
      <c r="D206" s="73"/>
    </row>
    <row r="207" spans="4:4" s="10" customFormat="1" x14ac:dyDescent="0.2">
      <c r="D207" s="73"/>
    </row>
    <row r="208" spans="4:4" s="10" customFormat="1" x14ac:dyDescent="0.2">
      <c r="D208" s="73"/>
    </row>
    <row r="209" spans="4:4" s="10" customFormat="1" x14ac:dyDescent="0.2">
      <c r="D209" s="73"/>
    </row>
    <row r="210" spans="4:4" s="10" customFormat="1" x14ac:dyDescent="0.2">
      <c r="D210" s="73"/>
    </row>
    <row r="211" spans="4:4" s="10" customFormat="1" x14ac:dyDescent="0.2">
      <c r="D211" s="73"/>
    </row>
    <row r="212" spans="4:4" s="10" customFormat="1" x14ac:dyDescent="0.2">
      <c r="D212" s="73"/>
    </row>
    <row r="213" spans="4:4" s="10" customFormat="1" x14ac:dyDescent="0.2">
      <c r="D213" s="73"/>
    </row>
    <row r="214" spans="4:4" s="10" customFormat="1" x14ac:dyDescent="0.2">
      <c r="D214" s="73"/>
    </row>
    <row r="215" spans="4:4" s="10" customFormat="1" x14ac:dyDescent="0.2">
      <c r="D215" s="73"/>
    </row>
    <row r="216" spans="4:4" s="10" customFormat="1" x14ac:dyDescent="0.2">
      <c r="D216" s="73"/>
    </row>
    <row r="217" spans="4:4" s="10" customFormat="1" x14ac:dyDescent="0.2">
      <c r="D217" s="73"/>
    </row>
    <row r="218" spans="4:4" s="10" customFormat="1" x14ac:dyDescent="0.2">
      <c r="D218" s="73"/>
    </row>
    <row r="219" spans="4:4" s="10" customFormat="1" x14ac:dyDescent="0.2">
      <c r="D219" s="73"/>
    </row>
    <row r="220" spans="4:4" s="10" customFormat="1" x14ac:dyDescent="0.2">
      <c r="D220" s="73"/>
    </row>
    <row r="221" spans="4:4" s="10" customFormat="1" x14ac:dyDescent="0.2">
      <c r="D221" s="73"/>
    </row>
    <row r="222" spans="4:4" s="10" customFormat="1" x14ac:dyDescent="0.2">
      <c r="D222" s="73"/>
    </row>
    <row r="223" spans="4:4" s="10" customFormat="1" x14ac:dyDescent="0.2">
      <c r="D223" s="73"/>
    </row>
    <row r="224" spans="4:4" s="10" customFormat="1" x14ac:dyDescent="0.2">
      <c r="D224" s="73"/>
    </row>
    <row r="225" spans="4:4" s="10" customFormat="1" x14ac:dyDescent="0.2">
      <c r="D225" s="73"/>
    </row>
    <row r="226" spans="4:4" s="10" customFormat="1" x14ac:dyDescent="0.2">
      <c r="D226" s="73"/>
    </row>
    <row r="227" spans="4:4" s="10" customFormat="1" x14ac:dyDescent="0.2">
      <c r="D227" s="73"/>
    </row>
    <row r="228" spans="4:4" s="10" customFormat="1" x14ac:dyDescent="0.2">
      <c r="D228" s="73"/>
    </row>
    <row r="229" spans="4:4" s="10" customFormat="1" x14ac:dyDescent="0.2">
      <c r="D229" s="73"/>
    </row>
    <row r="230" spans="4:4" s="10" customFormat="1" x14ac:dyDescent="0.2">
      <c r="D230" s="73"/>
    </row>
    <row r="231" spans="4:4" s="10" customFormat="1" x14ac:dyDescent="0.2">
      <c r="D231" s="73"/>
    </row>
    <row r="232" spans="4:4" s="10" customFormat="1" x14ac:dyDescent="0.2">
      <c r="D232" s="73"/>
    </row>
    <row r="233" spans="4:4" s="10" customFormat="1" x14ac:dyDescent="0.2">
      <c r="D233" s="73"/>
    </row>
    <row r="234" spans="4:4" s="10" customFormat="1" x14ac:dyDescent="0.2">
      <c r="D234" s="73"/>
    </row>
    <row r="235" spans="4:4" s="10" customFormat="1" x14ac:dyDescent="0.2">
      <c r="D235" s="73"/>
    </row>
    <row r="236" spans="4:4" s="10" customFormat="1" x14ac:dyDescent="0.2">
      <c r="D236" s="73"/>
    </row>
    <row r="237" spans="4:4" s="10" customFormat="1" x14ac:dyDescent="0.2">
      <c r="D237" s="73"/>
    </row>
    <row r="238" spans="4:4" s="10" customFormat="1" x14ac:dyDescent="0.2">
      <c r="D238" s="73"/>
    </row>
    <row r="239" spans="4:4" s="10" customFormat="1" x14ac:dyDescent="0.2">
      <c r="D239" s="73"/>
    </row>
    <row r="240" spans="4:4" s="10" customFormat="1" x14ac:dyDescent="0.2">
      <c r="D240" s="73"/>
    </row>
    <row r="241" spans="4:4" s="10" customFormat="1" x14ac:dyDescent="0.2">
      <c r="D241" s="73"/>
    </row>
    <row r="242" spans="4:4" s="10" customFormat="1" x14ac:dyDescent="0.2">
      <c r="D242" s="73"/>
    </row>
    <row r="243" spans="4:4" s="10" customFormat="1" x14ac:dyDescent="0.2">
      <c r="D243" s="73"/>
    </row>
    <row r="244" spans="4:4" s="10" customFormat="1" x14ac:dyDescent="0.2">
      <c r="D244" s="73"/>
    </row>
    <row r="245" spans="4:4" s="10" customFormat="1" x14ac:dyDescent="0.2">
      <c r="D245" s="73"/>
    </row>
    <row r="246" spans="4:4" s="10" customFormat="1" x14ac:dyDescent="0.2">
      <c r="D246" s="73"/>
    </row>
    <row r="247" spans="4:4" s="10" customFormat="1" x14ac:dyDescent="0.2">
      <c r="D247" s="73"/>
    </row>
    <row r="248" spans="4:4" s="10" customFormat="1" x14ac:dyDescent="0.2">
      <c r="D248" s="73"/>
    </row>
    <row r="249" spans="4:4" s="10" customFormat="1" x14ac:dyDescent="0.2">
      <c r="D249" s="73"/>
    </row>
    <row r="250" spans="4:4" s="10" customFormat="1" x14ac:dyDescent="0.2">
      <c r="D250" s="73"/>
    </row>
    <row r="251" spans="4:4" s="10" customFormat="1" x14ac:dyDescent="0.2">
      <c r="D251" s="73"/>
    </row>
    <row r="252" spans="4:4" s="10" customFormat="1" x14ac:dyDescent="0.2">
      <c r="D252" s="73"/>
    </row>
    <row r="253" spans="4:4" s="10" customFormat="1" x14ac:dyDescent="0.2">
      <c r="D253" s="73"/>
    </row>
    <row r="254" spans="4:4" s="10" customFormat="1" x14ac:dyDescent="0.2">
      <c r="D254" s="73"/>
    </row>
    <row r="255" spans="4:4" s="10" customFormat="1" x14ac:dyDescent="0.2">
      <c r="D255" s="73"/>
    </row>
    <row r="256" spans="4:4" s="10" customFormat="1" x14ac:dyDescent="0.2">
      <c r="D256" s="73"/>
    </row>
    <row r="257" spans="4:4" s="10" customFormat="1" x14ac:dyDescent="0.2">
      <c r="D257" s="73"/>
    </row>
    <row r="258" spans="4:4" s="10" customFormat="1" x14ac:dyDescent="0.2">
      <c r="D258" s="73"/>
    </row>
    <row r="259" spans="4:4" s="10" customFormat="1" x14ac:dyDescent="0.2">
      <c r="D259" s="73"/>
    </row>
    <row r="260" spans="4:4" s="10" customFormat="1" x14ac:dyDescent="0.2">
      <c r="D260" s="73"/>
    </row>
    <row r="261" spans="4:4" s="10" customFormat="1" x14ac:dyDescent="0.2">
      <c r="D261" s="73"/>
    </row>
    <row r="262" spans="4:4" s="10" customFormat="1" x14ac:dyDescent="0.2">
      <c r="D262" s="73"/>
    </row>
    <row r="263" spans="4:4" s="10" customFormat="1" x14ac:dyDescent="0.2">
      <c r="D263" s="73"/>
    </row>
    <row r="264" spans="4:4" s="10" customFormat="1" x14ac:dyDescent="0.2">
      <c r="D264" s="73"/>
    </row>
    <row r="265" spans="4:4" s="10" customFormat="1" x14ac:dyDescent="0.2">
      <c r="D265" s="73"/>
    </row>
    <row r="266" spans="4:4" s="10" customFormat="1" x14ac:dyDescent="0.2">
      <c r="D266" s="73"/>
    </row>
    <row r="267" spans="4:4" s="10" customFormat="1" x14ac:dyDescent="0.2">
      <c r="D267" s="73"/>
    </row>
    <row r="268" spans="4:4" s="10" customFormat="1" x14ac:dyDescent="0.2">
      <c r="D268" s="73"/>
    </row>
    <row r="269" spans="4:4" s="10" customFormat="1" x14ac:dyDescent="0.2">
      <c r="D269" s="73"/>
    </row>
    <row r="270" spans="4:4" s="10" customFormat="1" x14ac:dyDescent="0.2">
      <c r="D270" s="73"/>
    </row>
    <row r="271" spans="4:4" s="10" customFormat="1" x14ac:dyDescent="0.2">
      <c r="D271" s="73"/>
    </row>
    <row r="272" spans="4:4" s="10" customFormat="1" x14ac:dyDescent="0.2">
      <c r="D272" s="73"/>
    </row>
    <row r="273" spans="4:4" s="10" customFormat="1" x14ac:dyDescent="0.2">
      <c r="D273" s="73"/>
    </row>
    <row r="274" spans="4:4" s="10" customFormat="1" x14ac:dyDescent="0.2">
      <c r="D274" s="73"/>
    </row>
    <row r="275" spans="4:4" s="10" customFormat="1" x14ac:dyDescent="0.2">
      <c r="D275" s="73"/>
    </row>
    <row r="276" spans="4:4" s="10" customFormat="1" x14ac:dyDescent="0.2">
      <c r="D276" s="73"/>
    </row>
    <row r="277" spans="4:4" s="10" customFormat="1" x14ac:dyDescent="0.2">
      <c r="D277" s="73"/>
    </row>
    <row r="278" spans="4:4" s="10" customFormat="1" x14ac:dyDescent="0.2">
      <c r="D278" s="73"/>
    </row>
    <row r="279" spans="4:4" s="10" customFormat="1" x14ac:dyDescent="0.2">
      <c r="D279" s="73"/>
    </row>
    <row r="280" spans="4:4" s="10" customFormat="1" x14ac:dyDescent="0.2">
      <c r="D280" s="73"/>
    </row>
    <row r="281" spans="4:4" s="10" customFormat="1" x14ac:dyDescent="0.2">
      <c r="D281" s="73"/>
    </row>
    <row r="282" spans="4:4" s="10" customFormat="1" x14ac:dyDescent="0.2">
      <c r="D282" s="73"/>
    </row>
    <row r="283" spans="4:4" s="10" customFormat="1" x14ac:dyDescent="0.2">
      <c r="D283" s="73"/>
    </row>
    <row r="284" spans="4:4" s="10" customFormat="1" x14ac:dyDescent="0.2">
      <c r="D284" s="73"/>
    </row>
    <row r="285" spans="4:4" s="10" customFormat="1" x14ac:dyDescent="0.2">
      <c r="D285" s="73"/>
    </row>
    <row r="286" spans="4:4" s="10" customFormat="1" x14ac:dyDescent="0.2">
      <c r="D286" s="73"/>
    </row>
    <row r="287" spans="4:4" s="10" customFormat="1" x14ac:dyDescent="0.2">
      <c r="D287" s="73"/>
    </row>
    <row r="288" spans="4:4" s="10" customFormat="1" x14ac:dyDescent="0.2">
      <c r="D288" s="73"/>
    </row>
    <row r="289" spans="4:4" s="10" customFormat="1" x14ac:dyDescent="0.2">
      <c r="D289" s="73"/>
    </row>
    <row r="290" spans="4:4" s="10" customFormat="1" x14ac:dyDescent="0.2">
      <c r="D290" s="73"/>
    </row>
    <row r="291" spans="4:4" s="10" customFormat="1" x14ac:dyDescent="0.2">
      <c r="D291" s="73"/>
    </row>
    <row r="292" spans="4:4" s="10" customFormat="1" x14ac:dyDescent="0.2">
      <c r="D292" s="73"/>
    </row>
    <row r="293" spans="4:4" s="10" customFormat="1" x14ac:dyDescent="0.2">
      <c r="D293" s="73"/>
    </row>
    <row r="294" spans="4:4" s="10" customFormat="1" x14ac:dyDescent="0.2">
      <c r="D294" s="73"/>
    </row>
    <row r="295" spans="4:4" s="10" customFormat="1" x14ac:dyDescent="0.2">
      <c r="D295" s="73"/>
    </row>
    <row r="296" spans="4:4" s="10" customFormat="1" x14ac:dyDescent="0.2">
      <c r="D296" s="73"/>
    </row>
    <row r="297" spans="4:4" s="10" customFormat="1" x14ac:dyDescent="0.2">
      <c r="D297" s="73"/>
    </row>
    <row r="298" spans="4:4" s="10" customFormat="1" x14ac:dyDescent="0.2">
      <c r="D298" s="73"/>
    </row>
    <row r="299" spans="4:4" s="10" customFormat="1" x14ac:dyDescent="0.2">
      <c r="D299" s="73"/>
    </row>
    <row r="300" spans="4:4" s="10" customFormat="1" x14ac:dyDescent="0.2">
      <c r="D300" s="73"/>
    </row>
    <row r="301" spans="4:4" s="10" customFormat="1" x14ac:dyDescent="0.2">
      <c r="D301" s="73"/>
    </row>
    <row r="302" spans="4:4" s="10" customFormat="1" x14ac:dyDescent="0.2">
      <c r="D302" s="73"/>
    </row>
    <row r="303" spans="4:4" s="10" customFormat="1" x14ac:dyDescent="0.2">
      <c r="D303" s="73"/>
    </row>
    <row r="304" spans="4:4" s="10" customFormat="1" x14ac:dyDescent="0.2">
      <c r="D304" s="73"/>
    </row>
    <row r="305" spans="4:4" s="10" customFormat="1" x14ac:dyDescent="0.2">
      <c r="D305" s="73"/>
    </row>
    <row r="306" spans="4:4" s="10" customFormat="1" x14ac:dyDescent="0.2">
      <c r="D306" s="73"/>
    </row>
    <row r="307" spans="4:4" s="10" customFormat="1" x14ac:dyDescent="0.2">
      <c r="D307" s="73"/>
    </row>
    <row r="308" spans="4:4" s="10" customFormat="1" x14ac:dyDescent="0.2">
      <c r="D308" s="73"/>
    </row>
    <row r="309" spans="4:4" s="10" customFormat="1" x14ac:dyDescent="0.2">
      <c r="D309" s="73"/>
    </row>
    <row r="310" spans="4:4" s="10" customFormat="1" x14ac:dyDescent="0.2">
      <c r="D310" s="73"/>
    </row>
    <row r="311" spans="4:4" s="10" customFormat="1" x14ac:dyDescent="0.2">
      <c r="D311" s="73"/>
    </row>
    <row r="312" spans="4:4" s="10" customFormat="1" x14ac:dyDescent="0.2">
      <c r="D312" s="73"/>
    </row>
    <row r="313" spans="4:4" s="10" customFormat="1" x14ac:dyDescent="0.2">
      <c r="D313" s="73"/>
    </row>
    <row r="314" spans="4:4" s="10" customFormat="1" x14ac:dyDescent="0.2">
      <c r="D314" s="73"/>
    </row>
    <row r="315" spans="4:4" s="10" customFormat="1" x14ac:dyDescent="0.2">
      <c r="D315" s="73"/>
    </row>
    <row r="316" spans="4:4" s="10" customFormat="1" x14ac:dyDescent="0.2">
      <c r="D316" s="73"/>
    </row>
    <row r="317" spans="4:4" s="10" customFormat="1" x14ac:dyDescent="0.2">
      <c r="D317" s="73"/>
    </row>
    <row r="318" spans="4:4" s="10" customFormat="1" x14ac:dyDescent="0.2">
      <c r="D318" s="73"/>
    </row>
    <row r="319" spans="4:4" s="10" customFormat="1" x14ac:dyDescent="0.2">
      <c r="D319" s="73"/>
    </row>
    <row r="320" spans="4:4" s="10" customFormat="1" x14ac:dyDescent="0.2">
      <c r="D320" s="73"/>
    </row>
    <row r="321" spans="4:4" s="10" customFormat="1" x14ac:dyDescent="0.2">
      <c r="D321" s="73"/>
    </row>
    <row r="322" spans="4:4" s="10" customFormat="1" x14ac:dyDescent="0.2">
      <c r="D322" s="73"/>
    </row>
    <row r="323" spans="4:4" s="10" customFormat="1" x14ac:dyDescent="0.2">
      <c r="D323" s="73"/>
    </row>
    <row r="324" spans="4:4" s="10" customFormat="1" x14ac:dyDescent="0.2">
      <c r="D324" s="73"/>
    </row>
    <row r="325" spans="4:4" s="10" customFormat="1" x14ac:dyDescent="0.2">
      <c r="D325" s="73"/>
    </row>
    <row r="326" spans="4:4" s="10" customFormat="1" x14ac:dyDescent="0.2">
      <c r="D326" s="73"/>
    </row>
    <row r="327" spans="4:4" s="10" customFormat="1" x14ac:dyDescent="0.2">
      <c r="D327" s="73"/>
    </row>
    <row r="328" spans="4:4" s="10" customFormat="1" x14ac:dyDescent="0.2">
      <c r="D328" s="73"/>
    </row>
    <row r="329" spans="4:4" s="10" customFormat="1" x14ac:dyDescent="0.2">
      <c r="D329" s="73"/>
    </row>
    <row r="330" spans="4:4" s="10" customFormat="1" x14ac:dyDescent="0.2">
      <c r="D330" s="73"/>
    </row>
    <row r="331" spans="4:4" s="10" customFormat="1" x14ac:dyDescent="0.2">
      <c r="D331" s="73"/>
    </row>
    <row r="332" spans="4:4" s="10" customFormat="1" x14ac:dyDescent="0.2">
      <c r="D332" s="73"/>
    </row>
    <row r="333" spans="4:4" s="10" customFormat="1" x14ac:dyDescent="0.2">
      <c r="D333" s="73"/>
    </row>
    <row r="334" spans="4:4" s="10" customFormat="1" x14ac:dyDescent="0.2">
      <c r="D334" s="73"/>
    </row>
    <row r="335" spans="4:4" s="10" customFormat="1" x14ac:dyDescent="0.2">
      <c r="D335" s="73"/>
    </row>
    <row r="336" spans="4:4" s="10" customFormat="1" x14ac:dyDescent="0.2">
      <c r="D336" s="73"/>
    </row>
    <row r="337" spans="4:4" s="10" customFormat="1" x14ac:dyDescent="0.2">
      <c r="D337" s="73"/>
    </row>
    <row r="338" spans="4:4" s="10" customFormat="1" x14ac:dyDescent="0.2">
      <c r="D338" s="73"/>
    </row>
    <row r="339" spans="4:4" s="10" customFormat="1" x14ac:dyDescent="0.2">
      <c r="D339" s="73"/>
    </row>
    <row r="340" spans="4:4" s="10" customFormat="1" x14ac:dyDescent="0.2">
      <c r="D340" s="73"/>
    </row>
    <row r="341" spans="4:4" s="10" customFormat="1" x14ac:dyDescent="0.2">
      <c r="D341" s="73"/>
    </row>
    <row r="342" spans="4:4" s="10" customFormat="1" x14ac:dyDescent="0.2">
      <c r="D342" s="73"/>
    </row>
    <row r="343" spans="4:4" s="10" customFormat="1" x14ac:dyDescent="0.2">
      <c r="D343" s="73"/>
    </row>
    <row r="344" spans="4:4" s="10" customFormat="1" x14ac:dyDescent="0.2">
      <c r="D344" s="73"/>
    </row>
    <row r="345" spans="4:4" s="10" customFormat="1" x14ac:dyDescent="0.2">
      <c r="D345" s="73"/>
    </row>
    <row r="346" spans="4:4" s="10" customFormat="1" x14ac:dyDescent="0.2">
      <c r="D346" s="73"/>
    </row>
    <row r="347" spans="4:4" s="10" customFormat="1" x14ac:dyDescent="0.2">
      <c r="D347" s="73"/>
    </row>
    <row r="348" spans="4:4" s="10" customFormat="1" x14ac:dyDescent="0.2">
      <c r="D348" s="73"/>
    </row>
    <row r="349" spans="4:4" s="10" customFormat="1" x14ac:dyDescent="0.2">
      <c r="D349" s="73"/>
    </row>
    <row r="350" spans="4:4" s="10" customFormat="1" x14ac:dyDescent="0.2">
      <c r="D350" s="73"/>
    </row>
    <row r="351" spans="4:4" s="10" customFormat="1" x14ac:dyDescent="0.2">
      <c r="D351" s="73"/>
    </row>
    <row r="352" spans="4:4" s="10" customFormat="1" x14ac:dyDescent="0.2">
      <c r="D352" s="73"/>
    </row>
    <row r="353" spans="4:4" s="10" customFormat="1" x14ac:dyDescent="0.2">
      <c r="D353" s="73"/>
    </row>
    <row r="354" spans="4:4" s="10" customFormat="1" x14ac:dyDescent="0.2">
      <c r="D354" s="73"/>
    </row>
    <row r="355" spans="4:4" s="10" customFormat="1" x14ac:dyDescent="0.2">
      <c r="D355" s="73"/>
    </row>
    <row r="356" spans="4:4" s="10" customFormat="1" x14ac:dyDescent="0.2">
      <c r="D356" s="73"/>
    </row>
    <row r="357" spans="4:4" s="10" customFormat="1" x14ac:dyDescent="0.2">
      <c r="D357" s="73"/>
    </row>
    <row r="358" spans="4:4" s="10" customFormat="1" x14ac:dyDescent="0.2">
      <c r="D358" s="73"/>
    </row>
    <row r="359" spans="4:4" s="10" customFormat="1" x14ac:dyDescent="0.2">
      <c r="D359" s="73"/>
    </row>
    <row r="360" spans="4:4" s="10" customFormat="1" x14ac:dyDescent="0.2">
      <c r="D360" s="73"/>
    </row>
    <row r="361" spans="4:4" s="10" customFormat="1" x14ac:dyDescent="0.2">
      <c r="D361" s="73"/>
    </row>
    <row r="362" spans="4:4" s="10" customFormat="1" x14ac:dyDescent="0.2">
      <c r="D362" s="73"/>
    </row>
    <row r="363" spans="4:4" s="10" customFormat="1" x14ac:dyDescent="0.2">
      <c r="D363" s="73"/>
    </row>
    <row r="364" spans="4:4" s="10" customFormat="1" x14ac:dyDescent="0.2">
      <c r="D364" s="73"/>
    </row>
    <row r="365" spans="4:4" s="10" customFormat="1" x14ac:dyDescent="0.2">
      <c r="D365" s="73"/>
    </row>
    <row r="366" spans="4:4" s="10" customFormat="1" x14ac:dyDescent="0.2">
      <c r="D366" s="73"/>
    </row>
    <row r="367" spans="4:4" s="10" customFormat="1" x14ac:dyDescent="0.2">
      <c r="D367" s="73"/>
    </row>
    <row r="368" spans="4:4" s="10" customFormat="1" x14ac:dyDescent="0.2">
      <c r="D368" s="73"/>
    </row>
    <row r="369" spans="4:4" s="10" customFormat="1" x14ac:dyDescent="0.2">
      <c r="D369" s="73"/>
    </row>
    <row r="370" spans="4:4" s="10" customFormat="1" x14ac:dyDescent="0.2">
      <c r="D370" s="73"/>
    </row>
    <row r="371" spans="4:4" s="10" customFormat="1" x14ac:dyDescent="0.2">
      <c r="D371" s="73"/>
    </row>
    <row r="372" spans="4:4" s="10" customFormat="1" x14ac:dyDescent="0.2">
      <c r="D372" s="73"/>
    </row>
    <row r="373" spans="4:4" s="10" customFormat="1" x14ac:dyDescent="0.2">
      <c r="D373" s="73"/>
    </row>
    <row r="374" spans="4:4" s="10" customFormat="1" x14ac:dyDescent="0.2">
      <c r="D374" s="73"/>
    </row>
    <row r="375" spans="4:4" s="10" customFormat="1" x14ac:dyDescent="0.2">
      <c r="D375" s="73"/>
    </row>
    <row r="376" spans="4:4" s="10" customFormat="1" x14ac:dyDescent="0.2">
      <c r="D376" s="73"/>
    </row>
    <row r="377" spans="4:4" s="10" customFormat="1" x14ac:dyDescent="0.2">
      <c r="D377" s="73"/>
    </row>
    <row r="378" spans="4:4" s="10" customFormat="1" x14ac:dyDescent="0.2">
      <c r="D378" s="73"/>
    </row>
    <row r="379" spans="4:4" s="10" customFormat="1" x14ac:dyDescent="0.2">
      <c r="D379" s="73"/>
    </row>
    <row r="380" spans="4:4" s="10" customFormat="1" x14ac:dyDescent="0.2">
      <c r="D380" s="73"/>
    </row>
    <row r="381" spans="4:4" s="10" customFormat="1" x14ac:dyDescent="0.2">
      <c r="D381" s="73"/>
    </row>
    <row r="382" spans="4:4" s="10" customFormat="1" x14ac:dyDescent="0.2">
      <c r="D382" s="73"/>
    </row>
    <row r="383" spans="4:4" s="10" customFormat="1" x14ac:dyDescent="0.2">
      <c r="D383" s="73"/>
    </row>
    <row r="384" spans="4:4" s="10" customFormat="1" x14ac:dyDescent="0.2">
      <c r="D384" s="73"/>
    </row>
    <row r="385" spans="4:4" s="10" customFormat="1" x14ac:dyDescent="0.2">
      <c r="D385" s="73"/>
    </row>
    <row r="386" spans="4:4" s="10" customFormat="1" x14ac:dyDescent="0.2">
      <c r="D386" s="73"/>
    </row>
    <row r="387" spans="4:4" s="10" customFormat="1" x14ac:dyDescent="0.2">
      <c r="D387" s="73"/>
    </row>
    <row r="388" spans="4:4" s="10" customFormat="1" x14ac:dyDescent="0.2">
      <c r="D388" s="73"/>
    </row>
    <row r="389" spans="4:4" s="10" customFormat="1" x14ac:dyDescent="0.2">
      <c r="D389" s="73"/>
    </row>
    <row r="390" spans="4:4" s="10" customFormat="1" x14ac:dyDescent="0.2">
      <c r="D390" s="73"/>
    </row>
    <row r="391" spans="4:4" s="10" customFormat="1" x14ac:dyDescent="0.2">
      <c r="D391" s="73"/>
    </row>
    <row r="392" spans="4:4" s="10" customFormat="1" x14ac:dyDescent="0.2">
      <c r="D392" s="73"/>
    </row>
    <row r="393" spans="4:4" s="10" customFormat="1" x14ac:dyDescent="0.2">
      <c r="D393" s="73"/>
    </row>
    <row r="394" spans="4:4" s="10" customFormat="1" x14ac:dyDescent="0.2">
      <c r="D394" s="73"/>
    </row>
    <row r="395" spans="4:4" s="10" customFormat="1" x14ac:dyDescent="0.2">
      <c r="D395" s="73"/>
    </row>
    <row r="396" spans="4:4" s="10" customFormat="1" x14ac:dyDescent="0.2">
      <c r="D396" s="73"/>
    </row>
    <row r="397" spans="4:4" s="10" customFormat="1" x14ac:dyDescent="0.2">
      <c r="D397" s="73"/>
    </row>
    <row r="398" spans="4:4" s="10" customFormat="1" x14ac:dyDescent="0.2">
      <c r="D398" s="73"/>
    </row>
    <row r="399" spans="4:4" s="10" customFormat="1" x14ac:dyDescent="0.2">
      <c r="D399" s="73"/>
    </row>
    <row r="400" spans="4:4" s="10" customFormat="1" x14ac:dyDescent="0.2">
      <c r="D400" s="73"/>
    </row>
    <row r="401" spans="4:4" s="10" customFormat="1" x14ac:dyDescent="0.2">
      <c r="D401" s="73"/>
    </row>
    <row r="402" spans="4:4" s="10" customFormat="1" x14ac:dyDescent="0.2">
      <c r="D402" s="73"/>
    </row>
    <row r="403" spans="4:4" s="10" customFormat="1" x14ac:dyDescent="0.2">
      <c r="D403" s="73"/>
    </row>
    <row r="404" spans="4:4" s="10" customFormat="1" x14ac:dyDescent="0.2">
      <c r="D404" s="73"/>
    </row>
    <row r="405" spans="4:4" s="10" customFormat="1" x14ac:dyDescent="0.2">
      <c r="D405" s="73"/>
    </row>
    <row r="406" spans="4:4" s="10" customFormat="1" x14ac:dyDescent="0.2">
      <c r="D406" s="73"/>
    </row>
    <row r="407" spans="4:4" s="10" customFormat="1" x14ac:dyDescent="0.2">
      <c r="D407" s="73"/>
    </row>
    <row r="408" spans="4:4" s="10" customFormat="1" x14ac:dyDescent="0.2">
      <c r="D408" s="73"/>
    </row>
    <row r="409" spans="4:4" s="10" customFormat="1" x14ac:dyDescent="0.2">
      <c r="D409" s="73"/>
    </row>
    <row r="410" spans="4:4" s="10" customFormat="1" x14ac:dyDescent="0.2">
      <c r="D410" s="73"/>
    </row>
    <row r="411" spans="4:4" s="10" customFormat="1" x14ac:dyDescent="0.2">
      <c r="D411" s="73"/>
    </row>
    <row r="412" spans="4:4" s="10" customFormat="1" x14ac:dyDescent="0.2">
      <c r="D412" s="73"/>
    </row>
    <row r="413" spans="4:4" s="10" customFormat="1" x14ac:dyDescent="0.2">
      <c r="D413" s="73"/>
    </row>
    <row r="414" spans="4:4" s="10" customFormat="1" x14ac:dyDescent="0.2">
      <c r="D414" s="73"/>
    </row>
    <row r="415" spans="4:4" s="10" customFormat="1" x14ac:dyDescent="0.2">
      <c r="D415" s="73"/>
    </row>
    <row r="416" spans="4:4" s="10" customFormat="1" x14ac:dyDescent="0.2">
      <c r="D416" s="73"/>
    </row>
    <row r="417" spans="4:4" s="10" customFormat="1" x14ac:dyDescent="0.2">
      <c r="D417" s="73"/>
    </row>
    <row r="418" spans="4:4" s="10" customFormat="1" x14ac:dyDescent="0.2">
      <c r="D418" s="73"/>
    </row>
    <row r="419" spans="4:4" s="10" customFormat="1" x14ac:dyDescent="0.2">
      <c r="D419" s="73"/>
    </row>
    <row r="420" spans="4:4" s="10" customFormat="1" x14ac:dyDescent="0.2">
      <c r="D420" s="73"/>
    </row>
    <row r="421" spans="4:4" s="10" customFormat="1" x14ac:dyDescent="0.2">
      <c r="D421" s="73"/>
    </row>
    <row r="422" spans="4:4" s="10" customFormat="1" x14ac:dyDescent="0.2">
      <c r="D422" s="73"/>
    </row>
    <row r="423" spans="4:4" s="10" customFormat="1" x14ac:dyDescent="0.2">
      <c r="D423" s="73"/>
    </row>
    <row r="424" spans="4:4" s="10" customFormat="1" x14ac:dyDescent="0.2">
      <c r="D424" s="73"/>
    </row>
    <row r="425" spans="4:4" s="10" customFormat="1" x14ac:dyDescent="0.2">
      <c r="D425" s="73"/>
    </row>
    <row r="426" spans="4:4" s="10" customFormat="1" x14ac:dyDescent="0.2">
      <c r="D426" s="73"/>
    </row>
    <row r="427" spans="4:4" s="10" customFormat="1" x14ac:dyDescent="0.2">
      <c r="D427" s="73"/>
    </row>
    <row r="428" spans="4:4" s="10" customFormat="1" x14ac:dyDescent="0.2">
      <c r="D428" s="73"/>
    </row>
    <row r="429" spans="4:4" s="10" customFormat="1" x14ac:dyDescent="0.2">
      <c r="D429" s="73"/>
    </row>
    <row r="430" spans="4:4" s="10" customFormat="1" x14ac:dyDescent="0.2">
      <c r="D430" s="73"/>
    </row>
    <row r="431" spans="4:4" s="10" customFormat="1" x14ac:dyDescent="0.2">
      <c r="D431" s="73"/>
    </row>
    <row r="432" spans="4:4" s="10" customFormat="1" x14ac:dyDescent="0.2">
      <c r="D432" s="73"/>
    </row>
    <row r="433" spans="4:4" s="10" customFormat="1" x14ac:dyDescent="0.2">
      <c r="D433" s="73"/>
    </row>
    <row r="434" spans="4:4" s="10" customFormat="1" x14ac:dyDescent="0.2">
      <c r="D434" s="73"/>
    </row>
    <row r="435" spans="4:4" s="10" customFormat="1" x14ac:dyDescent="0.2">
      <c r="D435" s="73"/>
    </row>
    <row r="436" spans="4:4" s="10" customFormat="1" x14ac:dyDescent="0.2">
      <c r="D436" s="73"/>
    </row>
    <row r="437" spans="4:4" s="10" customFormat="1" x14ac:dyDescent="0.2">
      <c r="D437" s="73"/>
    </row>
    <row r="438" spans="4:4" s="10" customFormat="1" x14ac:dyDescent="0.2">
      <c r="D438" s="73"/>
    </row>
    <row r="439" spans="4:4" s="10" customFormat="1" x14ac:dyDescent="0.2">
      <c r="D439" s="73"/>
    </row>
    <row r="440" spans="4:4" s="10" customFormat="1" x14ac:dyDescent="0.2">
      <c r="D440" s="73"/>
    </row>
    <row r="441" spans="4:4" s="10" customFormat="1" x14ac:dyDescent="0.2">
      <c r="D441" s="73"/>
    </row>
    <row r="442" spans="4:4" s="10" customFormat="1" x14ac:dyDescent="0.2">
      <c r="D442" s="73"/>
    </row>
    <row r="443" spans="4:4" s="10" customFormat="1" x14ac:dyDescent="0.2">
      <c r="D443" s="73"/>
    </row>
    <row r="444" spans="4:4" s="10" customFormat="1" x14ac:dyDescent="0.2">
      <c r="D444" s="73"/>
    </row>
    <row r="445" spans="4:4" s="10" customFormat="1" x14ac:dyDescent="0.2">
      <c r="D445" s="73"/>
    </row>
    <row r="446" spans="4:4" s="10" customFormat="1" x14ac:dyDescent="0.2">
      <c r="D446" s="73"/>
    </row>
    <row r="447" spans="4:4" s="10" customFormat="1" x14ac:dyDescent="0.2">
      <c r="D447" s="73"/>
    </row>
    <row r="448" spans="4:4" s="10" customFormat="1" x14ac:dyDescent="0.2">
      <c r="D448" s="73"/>
    </row>
    <row r="449" spans="4:4" s="10" customFormat="1" x14ac:dyDescent="0.2">
      <c r="D449" s="73"/>
    </row>
    <row r="450" spans="4:4" s="10" customFormat="1" x14ac:dyDescent="0.2">
      <c r="D450" s="73"/>
    </row>
    <row r="451" spans="4:4" s="10" customFormat="1" x14ac:dyDescent="0.2">
      <c r="D451" s="73"/>
    </row>
    <row r="452" spans="4:4" s="10" customFormat="1" x14ac:dyDescent="0.2">
      <c r="D452" s="73"/>
    </row>
    <row r="453" spans="4:4" s="10" customFormat="1" x14ac:dyDescent="0.2">
      <c r="D453" s="73"/>
    </row>
    <row r="454" spans="4:4" s="10" customFormat="1" x14ac:dyDescent="0.2">
      <c r="D454" s="73"/>
    </row>
    <row r="455" spans="4:4" s="10" customFormat="1" x14ac:dyDescent="0.2">
      <c r="D455" s="73"/>
    </row>
    <row r="456" spans="4:4" s="10" customFormat="1" x14ac:dyDescent="0.2">
      <c r="D456" s="73"/>
    </row>
    <row r="457" spans="4:4" s="10" customFormat="1" x14ac:dyDescent="0.2">
      <c r="D457" s="73"/>
    </row>
    <row r="458" spans="4:4" s="10" customFormat="1" x14ac:dyDescent="0.2">
      <c r="D458" s="73"/>
    </row>
    <row r="459" spans="4:4" s="10" customFormat="1" x14ac:dyDescent="0.2">
      <c r="D459" s="73"/>
    </row>
    <row r="460" spans="4:4" s="10" customFormat="1" x14ac:dyDescent="0.2">
      <c r="D460" s="73"/>
    </row>
    <row r="461" spans="4:4" s="10" customFormat="1" x14ac:dyDescent="0.2">
      <c r="D461" s="73"/>
    </row>
    <row r="462" spans="4:4" s="10" customFormat="1" x14ac:dyDescent="0.2">
      <c r="D462" s="73"/>
    </row>
    <row r="463" spans="4:4" s="10" customFormat="1" x14ac:dyDescent="0.2">
      <c r="D463" s="73"/>
    </row>
    <row r="464" spans="4:4" s="10" customFormat="1" x14ac:dyDescent="0.2">
      <c r="D464" s="73"/>
    </row>
    <row r="465" spans="4:4" s="10" customFormat="1" x14ac:dyDescent="0.2">
      <c r="D465" s="73"/>
    </row>
    <row r="466" spans="4:4" s="10" customFormat="1" x14ac:dyDescent="0.2">
      <c r="D466" s="73"/>
    </row>
    <row r="467" spans="4:4" s="10" customFormat="1" x14ac:dyDescent="0.2">
      <c r="D467" s="73"/>
    </row>
    <row r="468" spans="4:4" s="10" customFormat="1" x14ac:dyDescent="0.2">
      <c r="D468" s="73"/>
    </row>
    <row r="469" spans="4:4" s="10" customFormat="1" x14ac:dyDescent="0.2">
      <c r="D469" s="73"/>
    </row>
    <row r="470" spans="4:4" s="10" customFormat="1" x14ac:dyDescent="0.2">
      <c r="D470" s="73"/>
    </row>
    <row r="471" spans="4:4" s="10" customFormat="1" x14ac:dyDescent="0.2">
      <c r="D471" s="73"/>
    </row>
    <row r="472" spans="4:4" s="10" customFormat="1" x14ac:dyDescent="0.2">
      <c r="D472" s="73"/>
    </row>
    <row r="473" spans="4:4" s="10" customFormat="1" x14ac:dyDescent="0.2">
      <c r="D473" s="73"/>
    </row>
    <row r="474" spans="4:4" s="10" customFormat="1" x14ac:dyDescent="0.2">
      <c r="D474" s="73"/>
    </row>
    <row r="475" spans="4:4" s="10" customFormat="1" x14ac:dyDescent="0.2">
      <c r="D475" s="73"/>
    </row>
    <row r="476" spans="4:4" s="10" customFormat="1" x14ac:dyDescent="0.2">
      <c r="D476" s="73"/>
    </row>
    <row r="477" spans="4:4" s="10" customFormat="1" x14ac:dyDescent="0.2">
      <c r="D477" s="73"/>
    </row>
    <row r="478" spans="4:4" s="10" customFormat="1" x14ac:dyDescent="0.2">
      <c r="D478" s="73"/>
    </row>
    <row r="479" spans="4:4" s="10" customFormat="1" x14ac:dyDescent="0.2">
      <c r="D479" s="73"/>
    </row>
    <row r="480" spans="4:4" s="10" customFormat="1" x14ac:dyDescent="0.2">
      <c r="D480" s="73"/>
    </row>
    <row r="481" spans="4:4" s="10" customFormat="1" x14ac:dyDescent="0.2">
      <c r="D481" s="73"/>
    </row>
    <row r="482" spans="4:4" s="10" customFormat="1" x14ac:dyDescent="0.2">
      <c r="D482" s="73"/>
    </row>
    <row r="483" spans="4:4" s="10" customFormat="1" x14ac:dyDescent="0.2">
      <c r="D483" s="73"/>
    </row>
    <row r="484" spans="4:4" s="10" customFormat="1" x14ac:dyDescent="0.2">
      <c r="D484" s="73"/>
    </row>
    <row r="485" spans="4:4" s="10" customFormat="1" x14ac:dyDescent="0.2">
      <c r="D485" s="73"/>
    </row>
    <row r="486" spans="4:4" s="10" customFormat="1" x14ac:dyDescent="0.2">
      <c r="D486" s="73"/>
    </row>
    <row r="487" spans="4:4" s="10" customFormat="1" x14ac:dyDescent="0.2">
      <c r="D487" s="73"/>
    </row>
    <row r="488" spans="4:4" s="10" customFormat="1" x14ac:dyDescent="0.2">
      <c r="D488" s="73"/>
    </row>
    <row r="489" spans="4:4" s="10" customFormat="1" x14ac:dyDescent="0.2">
      <c r="D489" s="73"/>
    </row>
    <row r="490" spans="4:4" s="10" customFormat="1" x14ac:dyDescent="0.2">
      <c r="D490" s="73"/>
    </row>
    <row r="491" spans="4:4" s="10" customFormat="1" x14ac:dyDescent="0.2">
      <c r="D491" s="73"/>
    </row>
    <row r="492" spans="4:4" s="10" customFormat="1" x14ac:dyDescent="0.2">
      <c r="D492" s="73"/>
    </row>
    <row r="493" spans="4:4" s="10" customFormat="1" x14ac:dyDescent="0.2">
      <c r="D493" s="73"/>
    </row>
    <row r="494" spans="4:4" s="10" customFormat="1" x14ac:dyDescent="0.2">
      <c r="D494" s="73"/>
    </row>
    <row r="495" spans="4:4" s="10" customFormat="1" x14ac:dyDescent="0.2">
      <c r="D495" s="73"/>
    </row>
    <row r="496" spans="4:4" s="10" customFormat="1" x14ac:dyDescent="0.2">
      <c r="D496" s="73"/>
    </row>
    <row r="497" spans="4:4" s="10" customFormat="1" x14ac:dyDescent="0.2">
      <c r="D497" s="73"/>
    </row>
    <row r="498" spans="4:4" s="10" customFormat="1" x14ac:dyDescent="0.2">
      <c r="D498" s="73"/>
    </row>
    <row r="499" spans="4:4" s="10" customFormat="1" x14ac:dyDescent="0.2">
      <c r="D499" s="73"/>
    </row>
    <row r="500" spans="4:4" s="10" customFormat="1" x14ac:dyDescent="0.2">
      <c r="D500" s="73"/>
    </row>
    <row r="501" spans="4:4" s="10" customFormat="1" x14ac:dyDescent="0.2">
      <c r="D501" s="73"/>
    </row>
    <row r="502" spans="4:4" s="10" customFormat="1" x14ac:dyDescent="0.2">
      <c r="D502" s="73"/>
    </row>
    <row r="503" spans="4:4" s="10" customFormat="1" x14ac:dyDescent="0.2">
      <c r="D503" s="73"/>
    </row>
    <row r="504" spans="4:4" s="10" customFormat="1" x14ac:dyDescent="0.2">
      <c r="D504" s="73"/>
    </row>
    <row r="505" spans="4:4" s="10" customFormat="1" x14ac:dyDescent="0.2">
      <c r="D505" s="73"/>
    </row>
    <row r="506" spans="4:4" s="10" customFormat="1" x14ac:dyDescent="0.2">
      <c r="D506" s="73"/>
    </row>
    <row r="507" spans="4:4" s="10" customFormat="1" x14ac:dyDescent="0.2">
      <c r="D507" s="73"/>
    </row>
    <row r="508" spans="4:4" s="10" customFormat="1" x14ac:dyDescent="0.2">
      <c r="D508" s="73"/>
    </row>
    <row r="509" spans="4:4" s="10" customFormat="1" x14ac:dyDescent="0.2">
      <c r="D509" s="73"/>
    </row>
    <row r="510" spans="4:4" s="10" customFormat="1" x14ac:dyDescent="0.2">
      <c r="D510" s="73"/>
    </row>
    <row r="511" spans="4:4" s="10" customFormat="1" x14ac:dyDescent="0.2">
      <c r="D511" s="73"/>
    </row>
    <row r="512" spans="4:4" s="10" customFormat="1" x14ac:dyDescent="0.2">
      <c r="D512" s="73"/>
    </row>
    <row r="513" spans="4:4" s="10" customFormat="1" x14ac:dyDescent="0.2">
      <c r="D513" s="73"/>
    </row>
    <row r="514" spans="4:4" s="10" customFormat="1" x14ac:dyDescent="0.2">
      <c r="D514" s="73"/>
    </row>
    <row r="515" spans="4:4" s="10" customFormat="1" x14ac:dyDescent="0.2">
      <c r="D515" s="73"/>
    </row>
    <row r="516" spans="4:4" s="10" customFormat="1" x14ac:dyDescent="0.2">
      <c r="D516" s="73"/>
    </row>
    <row r="517" spans="4:4" s="10" customFormat="1" x14ac:dyDescent="0.2">
      <c r="D517" s="73"/>
    </row>
    <row r="518" spans="4:4" s="10" customFormat="1" x14ac:dyDescent="0.2">
      <c r="D518" s="73"/>
    </row>
    <row r="519" spans="4:4" s="10" customFormat="1" x14ac:dyDescent="0.2">
      <c r="D519" s="73"/>
    </row>
    <row r="520" spans="4:4" s="10" customFormat="1" x14ac:dyDescent="0.2">
      <c r="D520" s="73"/>
    </row>
    <row r="521" spans="4:4" s="10" customFormat="1" x14ac:dyDescent="0.2">
      <c r="D521" s="73"/>
    </row>
    <row r="522" spans="4:4" s="10" customFormat="1" x14ac:dyDescent="0.2">
      <c r="D522" s="73"/>
    </row>
    <row r="523" spans="4:4" s="10" customFormat="1" x14ac:dyDescent="0.2">
      <c r="D523" s="73"/>
    </row>
    <row r="524" spans="4:4" s="10" customFormat="1" x14ac:dyDescent="0.2">
      <c r="D524" s="73"/>
    </row>
    <row r="525" spans="4:4" s="10" customFormat="1" x14ac:dyDescent="0.2">
      <c r="D525" s="73"/>
    </row>
    <row r="526" spans="4:4" s="10" customFormat="1" x14ac:dyDescent="0.2">
      <c r="D526" s="73"/>
    </row>
    <row r="527" spans="4:4" s="10" customFormat="1" x14ac:dyDescent="0.2">
      <c r="D527" s="73"/>
    </row>
    <row r="528" spans="4:4" s="10" customFormat="1" x14ac:dyDescent="0.2">
      <c r="D528" s="73"/>
    </row>
    <row r="529" spans="4:4" s="10" customFormat="1" x14ac:dyDescent="0.2">
      <c r="D529" s="73"/>
    </row>
    <row r="530" spans="4:4" s="10" customFormat="1" x14ac:dyDescent="0.2">
      <c r="D530" s="73"/>
    </row>
    <row r="531" spans="4:4" s="10" customFormat="1" x14ac:dyDescent="0.2">
      <c r="D531" s="73"/>
    </row>
    <row r="532" spans="4:4" s="10" customFormat="1" x14ac:dyDescent="0.2">
      <c r="D532" s="73"/>
    </row>
    <row r="533" spans="4:4" s="10" customFormat="1" x14ac:dyDescent="0.2">
      <c r="D533" s="73"/>
    </row>
    <row r="534" spans="4:4" s="10" customFormat="1" x14ac:dyDescent="0.2">
      <c r="D534" s="73"/>
    </row>
    <row r="535" spans="4:4" s="10" customFormat="1" x14ac:dyDescent="0.2">
      <c r="D535" s="73"/>
    </row>
    <row r="536" spans="4:4" s="10" customFormat="1" x14ac:dyDescent="0.2">
      <c r="D536" s="73"/>
    </row>
    <row r="537" spans="4:4" s="10" customFormat="1" x14ac:dyDescent="0.2">
      <c r="D537" s="73"/>
    </row>
    <row r="538" spans="4:4" s="10" customFormat="1" x14ac:dyDescent="0.2">
      <c r="D538" s="73"/>
    </row>
    <row r="539" spans="4:4" s="10" customFormat="1" x14ac:dyDescent="0.2">
      <c r="D539" s="73"/>
    </row>
    <row r="540" spans="4:4" s="10" customFormat="1" x14ac:dyDescent="0.2">
      <c r="D540" s="73"/>
    </row>
    <row r="541" spans="4:4" s="10" customFormat="1" x14ac:dyDescent="0.2">
      <c r="D541" s="73"/>
    </row>
    <row r="542" spans="4:4" s="10" customFormat="1" x14ac:dyDescent="0.2">
      <c r="D542" s="73"/>
    </row>
    <row r="543" spans="4:4" s="10" customFormat="1" x14ac:dyDescent="0.2">
      <c r="D543" s="73"/>
    </row>
    <row r="544" spans="4:4" s="10" customFormat="1" x14ac:dyDescent="0.2">
      <c r="D544" s="73"/>
    </row>
    <row r="545" spans="4:4" s="10" customFormat="1" x14ac:dyDescent="0.2">
      <c r="D545" s="73"/>
    </row>
    <row r="546" spans="4:4" s="10" customFormat="1" x14ac:dyDescent="0.2">
      <c r="D546" s="73"/>
    </row>
    <row r="547" spans="4:4" s="10" customFormat="1" x14ac:dyDescent="0.2">
      <c r="D547" s="73"/>
    </row>
    <row r="548" spans="4:4" s="10" customFormat="1" x14ac:dyDescent="0.2">
      <c r="D548" s="73"/>
    </row>
    <row r="549" spans="4:4" s="10" customFormat="1" x14ac:dyDescent="0.2">
      <c r="D549" s="73"/>
    </row>
    <row r="550" spans="4:4" s="10" customFormat="1" x14ac:dyDescent="0.2">
      <c r="D550" s="73"/>
    </row>
    <row r="551" spans="4:4" s="10" customFormat="1" x14ac:dyDescent="0.2">
      <c r="D551" s="73"/>
    </row>
    <row r="552" spans="4:4" s="10" customFormat="1" x14ac:dyDescent="0.2">
      <c r="D552" s="73"/>
    </row>
    <row r="553" spans="4:4" s="10" customFormat="1" x14ac:dyDescent="0.2">
      <c r="D553" s="73"/>
    </row>
    <row r="554" spans="4:4" s="10" customFormat="1" x14ac:dyDescent="0.2">
      <c r="D554" s="73"/>
    </row>
    <row r="555" spans="4:4" s="10" customFormat="1" x14ac:dyDescent="0.2">
      <c r="D555" s="73"/>
    </row>
    <row r="556" spans="4:4" s="10" customFormat="1" x14ac:dyDescent="0.2">
      <c r="D556" s="73"/>
    </row>
    <row r="557" spans="4:4" s="10" customFormat="1" x14ac:dyDescent="0.2">
      <c r="D557" s="73"/>
    </row>
    <row r="558" spans="4:4" s="10" customFormat="1" x14ac:dyDescent="0.2">
      <c r="D558" s="73"/>
    </row>
    <row r="559" spans="4:4" s="10" customFormat="1" x14ac:dyDescent="0.2">
      <c r="D559" s="73"/>
    </row>
    <row r="560" spans="4:4" s="10" customFormat="1" x14ac:dyDescent="0.2">
      <c r="D560" s="73"/>
    </row>
    <row r="561" spans="4:4" s="10" customFormat="1" x14ac:dyDescent="0.2">
      <c r="D561" s="73"/>
    </row>
    <row r="562" spans="4:4" s="10" customFormat="1" x14ac:dyDescent="0.2">
      <c r="D562" s="73"/>
    </row>
    <row r="563" spans="4:4" s="10" customFormat="1" x14ac:dyDescent="0.2">
      <c r="D563" s="73"/>
    </row>
    <row r="564" spans="4:4" s="10" customFormat="1" x14ac:dyDescent="0.2">
      <c r="D564" s="73"/>
    </row>
    <row r="565" spans="4:4" s="10" customFormat="1" x14ac:dyDescent="0.2">
      <c r="D565" s="73"/>
    </row>
    <row r="566" spans="4:4" s="10" customFormat="1" x14ac:dyDescent="0.2">
      <c r="D566" s="73"/>
    </row>
    <row r="567" spans="4:4" s="10" customFormat="1" x14ac:dyDescent="0.2">
      <c r="D567" s="73"/>
    </row>
    <row r="568" spans="4:4" s="10" customFormat="1" x14ac:dyDescent="0.2">
      <c r="D568" s="73"/>
    </row>
    <row r="569" spans="4:4" s="10" customFormat="1" x14ac:dyDescent="0.2">
      <c r="D569" s="73"/>
    </row>
    <row r="570" spans="4:4" s="10" customFormat="1" x14ac:dyDescent="0.2">
      <c r="D570" s="73"/>
    </row>
    <row r="571" spans="4:4" s="10" customFormat="1" x14ac:dyDescent="0.2">
      <c r="D571" s="73"/>
    </row>
    <row r="572" spans="4:4" s="10" customFormat="1" x14ac:dyDescent="0.2">
      <c r="D572" s="73"/>
    </row>
    <row r="573" spans="4:4" s="10" customFormat="1" x14ac:dyDescent="0.2">
      <c r="D573" s="73"/>
    </row>
    <row r="574" spans="4:4" s="10" customFormat="1" x14ac:dyDescent="0.2">
      <c r="D574" s="73"/>
    </row>
    <row r="575" spans="4:4" s="10" customFormat="1" x14ac:dyDescent="0.2">
      <c r="D575" s="73"/>
    </row>
    <row r="576" spans="4:4" s="10" customFormat="1" x14ac:dyDescent="0.2">
      <c r="D576" s="73"/>
    </row>
    <row r="577" spans="4:4" s="10" customFormat="1" x14ac:dyDescent="0.2">
      <c r="D577" s="73"/>
    </row>
    <row r="578" spans="4:4" s="10" customFormat="1" x14ac:dyDescent="0.2">
      <c r="D578" s="73"/>
    </row>
    <row r="579" spans="4:4" s="10" customFormat="1" x14ac:dyDescent="0.2">
      <c r="D579" s="73"/>
    </row>
    <row r="580" spans="4:4" s="10" customFormat="1" x14ac:dyDescent="0.2">
      <c r="D580" s="73"/>
    </row>
    <row r="581" spans="4:4" s="10" customFormat="1" x14ac:dyDescent="0.2">
      <c r="D581" s="73"/>
    </row>
    <row r="582" spans="4:4" s="10" customFormat="1" x14ac:dyDescent="0.2">
      <c r="D582" s="73"/>
    </row>
    <row r="583" spans="4:4" s="10" customFormat="1" x14ac:dyDescent="0.2">
      <c r="D583" s="73"/>
    </row>
    <row r="584" spans="4:4" s="10" customFormat="1" x14ac:dyDescent="0.2">
      <c r="D584" s="73"/>
    </row>
    <row r="585" spans="4:4" s="10" customFormat="1" x14ac:dyDescent="0.2">
      <c r="D585" s="73"/>
    </row>
    <row r="586" spans="4:4" s="10" customFormat="1" x14ac:dyDescent="0.2">
      <c r="D586" s="73"/>
    </row>
    <row r="587" spans="4:4" s="10" customFormat="1" x14ac:dyDescent="0.2">
      <c r="D587" s="73"/>
    </row>
    <row r="588" spans="4:4" s="10" customFormat="1" x14ac:dyDescent="0.2">
      <c r="D588" s="73"/>
    </row>
    <row r="589" spans="4:4" s="10" customFormat="1" x14ac:dyDescent="0.2">
      <c r="D589" s="73"/>
    </row>
    <row r="590" spans="4:4" s="10" customFormat="1" x14ac:dyDescent="0.2">
      <c r="D590" s="73"/>
    </row>
    <row r="591" spans="4:4" s="10" customFormat="1" x14ac:dyDescent="0.2">
      <c r="D591" s="73"/>
    </row>
    <row r="592" spans="4:4" s="10" customFormat="1" x14ac:dyDescent="0.2">
      <c r="D592" s="73"/>
    </row>
    <row r="593" spans="4:4" s="10" customFormat="1" x14ac:dyDescent="0.2">
      <c r="D593" s="73"/>
    </row>
    <row r="594" spans="4:4" s="10" customFormat="1" x14ac:dyDescent="0.2">
      <c r="D594" s="73"/>
    </row>
    <row r="595" spans="4:4" s="10" customFormat="1" x14ac:dyDescent="0.2">
      <c r="D595" s="73"/>
    </row>
    <row r="596" spans="4:4" s="10" customFormat="1" x14ac:dyDescent="0.2">
      <c r="D596" s="73"/>
    </row>
    <row r="597" spans="4:4" s="10" customFormat="1" x14ac:dyDescent="0.2">
      <c r="D597" s="73"/>
    </row>
    <row r="598" spans="4:4" s="10" customFormat="1" x14ac:dyDescent="0.2">
      <c r="D598" s="73"/>
    </row>
    <row r="599" spans="4:4" s="10" customFormat="1" x14ac:dyDescent="0.2">
      <c r="D599" s="73"/>
    </row>
    <row r="600" spans="4:4" s="10" customFormat="1" x14ac:dyDescent="0.2">
      <c r="D600" s="73"/>
    </row>
    <row r="601" spans="4:4" s="10" customFormat="1" x14ac:dyDescent="0.2">
      <c r="D601" s="73"/>
    </row>
    <row r="602" spans="4:4" s="10" customFormat="1" x14ac:dyDescent="0.2">
      <c r="D602" s="73"/>
    </row>
    <row r="603" spans="4:4" s="10" customFormat="1" x14ac:dyDescent="0.2">
      <c r="D603" s="73"/>
    </row>
    <row r="604" spans="4:4" s="10" customFormat="1" x14ac:dyDescent="0.2">
      <c r="D604" s="73"/>
    </row>
    <row r="605" spans="4:4" s="10" customFormat="1" x14ac:dyDescent="0.2">
      <c r="D605" s="73"/>
    </row>
    <row r="606" spans="4:4" s="10" customFormat="1" x14ac:dyDescent="0.2">
      <c r="D606" s="73"/>
    </row>
    <row r="607" spans="4:4" s="10" customFormat="1" x14ac:dyDescent="0.2">
      <c r="D607" s="73"/>
    </row>
    <row r="608" spans="4:4" s="10" customFormat="1" x14ac:dyDescent="0.2">
      <c r="D608" s="73"/>
    </row>
    <row r="609" spans="4:4" s="10" customFormat="1" x14ac:dyDescent="0.2">
      <c r="D609" s="73"/>
    </row>
    <row r="610" spans="4:4" s="10" customFormat="1" x14ac:dyDescent="0.2">
      <c r="D610" s="73"/>
    </row>
    <row r="611" spans="4:4" s="10" customFormat="1" x14ac:dyDescent="0.2">
      <c r="D611" s="73"/>
    </row>
    <row r="612" spans="4:4" s="10" customFormat="1" x14ac:dyDescent="0.2">
      <c r="D612" s="73"/>
    </row>
    <row r="613" spans="4:4" s="10" customFormat="1" x14ac:dyDescent="0.2">
      <c r="D613" s="73"/>
    </row>
    <row r="614" spans="4:4" s="10" customFormat="1" x14ac:dyDescent="0.2">
      <c r="D614" s="73"/>
    </row>
    <row r="615" spans="4:4" s="10" customFormat="1" x14ac:dyDescent="0.2">
      <c r="D615" s="73"/>
    </row>
    <row r="616" spans="4:4" s="10" customFormat="1" x14ac:dyDescent="0.2">
      <c r="D616" s="73"/>
    </row>
    <row r="617" spans="4:4" s="10" customFormat="1" x14ac:dyDescent="0.2">
      <c r="D617" s="73"/>
    </row>
    <row r="618" spans="4:4" s="10" customFormat="1" x14ac:dyDescent="0.2">
      <c r="D618" s="73"/>
    </row>
    <row r="619" spans="4:4" s="10" customFormat="1" x14ac:dyDescent="0.2">
      <c r="D619" s="73"/>
    </row>
    <row r="620" spans="4:4" s="10" customFormat="1" x14ac:dyDescent="0.2">
      <c r="D620" s="73"/>
    </row>
    <row r="621" spans="4:4" s="10" customFormat="1" x14ac:dyDescent="0.2">
      <c r="D621" s="73"/>
    </row>
    <row r="622" spans="4:4" s="10" customFormat="1" x14ac:dyDescent="0.2">
      <c r="D622" s="73"/>
    </row>
    <row r="623" spans="4:4" s="10" customFormat="1" x14ac:dyDescent="0.2">
      <c r="D623" s="73"/>
    </row>
    <row r="624" spans="4:4" s="10" customFormat="1" x14ac:dyDescent="0.2">
      <c r="D624" s="73"/>
    </row>
    <row r="625" spans="4:10" s="10" customFormat="1" x14ac:dyDescent="0.2">
      <c r="D625" s="73"/>
    </row>
    <row r="626" spans="4:10" s="10" customFormat="1" x14ac:dyDescent="0.2">
      <c r="D626" s="73"/>
    </row>
    <row r="627" spans="4:10" s="10" customFormat="1" x14ac:dyDescent="0.2">
      <c r="D627" s="73"/>
    </row>
    <row r="628" spans="4:10" x14ac:dyDescent="0.2">
      <c r="G628" s="10"/>
      <c r="H628" s="10"/>
      <c r="I628" s="10"/>
      <c r="J628" s="10"/>
    </row>
    <row r="629" spans="4:10" x14ac:dyDescent="0.2">
      <c r="G629" s="10"/>
      <c r="H629" s="10"/>
      <c r="I629" s="10"/>
      <c r="J629" s="10"/>
    </row>
    <row r="630" spans="4:10" x14ac:dyDescent="0.2">
      <c r="G630" s="10"/>
      <c r="H630" s="10"/>
      <c r="I630" s="10"/>
      <c r="J630" s="10"/>
    </row>
    <row r="631" spans="4:10" x14ac:dyDescent="0.2">
      <c r="G631" s="10"/>
      <c r="H631" s="10"/>
      <c r="I631" s="10"/>
      <c r="J631" s="10"/>
    </row>
    <row r="632" spans="4:10" x14ac:dyDescent="0.2">
      <c r="G632" s="10"/>
      <c r="H632" s="10"/>
      <c r="I632" s="10"/>
      <c r="J632" s="10"/>
    </row>
    <row r="633" spans="4:10" x14ac:dyDescent="0.2">
      <c r="G633" s="10"/>
      <c r="H633" s="10"/>
      <c r="I633" s="10"/>
      <c r="J633" s="10"/>
    </row>
    <row r="634" spans="4:10" x14ac:dyDescent="0.2">
      <c r="G634" s="10"/>
      <c r="H634" s="10"/>
      <c r="I634" s="10"/>
      <c r="J634" s="10"/>
    </row>
    <row r="635" spans="4:10" x14ac:dyDescent="0.2">
      <c r="G635" s="10"/>
      <c r="H635" s="10"/>
      <c r="I635" s="10"/>
      <c r="J635" s="10"/>
    </row>
    <row r="636" spans="4:10" x14ac:dyDescent="0.2">
      <c r="G636" s="10"/>
      <c r="H636" s="10"/>
      <c r="I636" s="10"/>
      <c r="J636" s="10"/>
    </row>
    <row r="637" spans="4:10" x14ac:dyDescent="0.2">
      <c r="G637" s="10"/>
      <c r="H637" s="10"/>
      <c r="I637" s="10"/>
      <c r="J637" s="10"/>
    </row>
    <row r="638" spans="4:10" x14ac:dyDescent="0.2">
      <c r="G638" s="10"/>
      <c r="H638" s="10"/>
      <c r="I638" s="10"/>
      <c r="J638" s="10"/>
    </row>
    <row r="639" spans="4:10" x14ac:dyDescent="0.2">
      <c r="G639" s="10"/>
      <c r="H639" s="10"/>
      <c r="I639" s="10"/>
      <c r="J639" s="10"/>
    </row>
    <row r="640" spans="4:10" x14ac:dyDescent="0.2">
      <c r="G640" s="10"/>
      <c r="H640" s="10"/>
      <c r="I640" s="10"/>
      <c r="J640" s="10"/>
    </row>
    <row r="641" spans="7:10" x14ac:dyDescent="0.2">
      <c r="G641" s="10"/>
      <c r="H641" s="10"/>
      <c r="I641" s="10"/>
      <c r="J641" s="10"/>
    </row>
    <row r="642" spans="7:10" x14ac:dyDescent="0.2">
      <c r="G642" s="10"/>
      <c r="H642" s="10"/>
      <c r="I642" s="10"/>
      <c r="J642" s="10"/>
    </row>
    <row r="643" spans="7:10" x14ac:dyDescent="0.2">
      <c r="G643" s="10"/>
      <c r="H643" s="10"/>
      <c r="I643" s="10"/>
      <c r="J643" s="10"/>
    </row>
    <row r="644" spans="7:10" x14ac:dyDescent="0.2">
      <c r="G644" s="10"/>
      <c r="H644" s="10"/>
      <c r="I644" s="10"/>
      <c r="J644" s="10"/>
    </row>
    <row r="645" spans="7:10" x14ac:dyDescent="0.2">
      <c r="G645" s="10"/>
      <c r="H645" s="10"/>
      <c r="I645" s="10"/>
      <c r="J645" s="10"/>
    </row>
    <row r="646" spans="7:10" x14ac:dyDescent="0.2">
      <c r="G646" s="10"/>
      <c r="H646" s="10"/>
      <c r="I646" s="10"/>
      <c r="J646" s="10"/>
    </row>
    <row r="647" spans="7:10" x14ac:dyDescent="0.2">
      <c r="G647" s="10"/>
      <c r="H647" s="10"/>
      <c r="I647" s="10"/>
      <c r="J647" s="10"/>
    </row>
    <row r="648" spans="7:10" x14ac:dyDescent="0.2">
      <c r="G648" s="10"/>
      <c r="H648" s="10"/>
      <c r="I648" s="10"/>
      <c r="J648" s="10"/>
    </row>
    <row r="649" spans="7:10" x14ac:dyDescent="0.2">
      <c r="G649" s="10"/>
      <c r="H649" s="10"/>
      <c r="I649" s="10"/>
      <c r="J649" s="10"/>
    </row>
    <row r="650" spans="7:10" x14ac:dyDescent="0.2">
      <c r="G650" s="10"/>
      <c r="H650" s="10"/>
      <c r="I650" s="10"/>
      <c r="J650" s="10"/>
    </row>
    <row r="651" spans="7:10" x14ac:dyDescent="0.2">
      <c r="G651" s="10"/>
      <c r="H651" s="10"/>
      <c r="I651" s="10"/>
      <c r="J651" s="10"/>
    </row>
    <row r="652" spans="7:10" x14ac:dyDescent="0.2">
      <c r="G652" s="10"/>
      <c r="H652" s="10"/>
      <c r="I652" s="10"/>
      <c r="J652" s="10"/>
    </row>
    <row r="653" spans="7:10" x14ac:dyDescent="0.2">
      <c r="G653" s="10"/>
      <c r="H653" s="10"/>
      <c r="I653" s="10"/>
      <c r="J653" s="10"/>
    </row>
    <row r="654" spans="7:10" x14ac:dyDescent="0.2">
      <c r="G654" s="10"/>
      <c r="H654" s="10"/>
      <c r="I654" s="10"/>
      <c r="J654" s="10"/>
    </row>
    <row r="655" spans="7:10" x14ac:dyDescent="0.2">
      <c r="G655" s="10"/>
      <c r="H655" s="10"/>
      <c r="I655" s="10"/>
      <c r="J655" s="10"/>
    </row>
    <row r="656" spans="7:10" x14ac:dyDescent="0.2">
      <c r="G656" s="10"/>
      <c r="H656" s="10"/>
      <c r="I656" s="10"/>
      <c r="J656" s="10"/>
    </row>
    <row r="657" spans="7:10" x14ac:dyDescent="0.2">
      <c r="G657" s="10"/>
      <c r="H657" s="10"/>
      <c r="I657" s="10"/>
      <c r="J657" s="10"/>
    </row>
    <row r="658" spans="7:10" x14ac:dyDescent="0.2">
      <c r="G658" s="10"/>
      <c r="H658" s="10"/>
      <c r="I658" s="10"/>
      <c r="J658" s="10"/>
    </row>
    <row r="659" spans="7:10" x14ac:dyDescent="0.2">
      <c r="G659" s="10"/>
      <c r="H659" s="10"/>
      <c r="I659" s="10"/>
      <c r="J659" s="10"/>
    </row>
    <row r="660" spans="7:10" x14ac:dyDescent="0.2">
      <c r="G660" s="10"/>
      <c r="H660" s="10"/>
      <c r="I660" s="10"/>
      <c r="J660" s="10"/>
    </row>
    <row r="661" spans="7:10" x14ac:dyDescent="0.2">
      <c r="G661" s="10"/>
      <c r="H661" s="10"/>
      <c r="I661" s="10"/>
      <c r="J661" s="10"/>
    </row>
    <row r="662" spans="7:10" x14ac:dyDescent="0.2">
      <c r="G662" s="10"/>
      <c r="H662" s="10"/>
      <c r="I662" s="10"/>
      <c r="J662" s="10"/>
    </row>
    <row r="663" spans="7:10" x14ac:dyDescent="0.2">
      <c r="G663" s="10"/>
      <c r="H663" s="10"/>
      <c r="I663" s="10"/>
      <c r="J663" s="10"/>
    </row>
    <row r="664" spans="7:10" x14ac:dyDescent="0.2">
      <c r="G664" s="10"/>
      <c r="H664" s="10"/>
      <c r="I664" s="10"/>
      <c r="J664" s="10"/>
    </row>
    <row r="665" spans="7:10" x14ac:dyDescent="0.2">
      <c r="G665" s="10"/>
      <c r="H665" s="10"/>
      <c r="I665" s="10"/>
      <c r="J665" s="10"/>
    </row>
    <row r="666" spans="7:10" x14ac:dyDescent="0.2">
      <c r="G666" s="10"/>
      <c r="H666" s="10"/>
      <c r="I666" s="10"/>
      <c r="J666" s="10"/>
    </row>
    <row r="667" spans="7:10" x14ac:dyDescent="0.2">
      <c r="G667" s="10"/>
      <c r="H667" s="10"/>
      <c r="I667" s="10"/>
      <c r="J667" s="10"/>
    </row>
    <row r="668" spans="7:10" x14ac:dyDescent="0.2">
      <c r="G668" s="10"/>
      <c r="H668" s="10"/>
      <c r="I668" s="10"/>
      <c r="J668" s="10"/>
    </row>
    <row r="669" spans="7:10" x14ac:dyDescent="0.2">
      <c r="G669" s="10"/>
      <c r="H669" s="10"/>
      <c r="I669" s="10"/>
      <c r="J669" s="10"/>
    </row>
    <row r="670" spans="7:10" x14ac:dyDescent="0.2">
      <c r="G670" s="10"/>
      <c r="H670" s="10"/>
      <c r="I670" s="10"/>
      <c r="J670" s="10"/>
    </row>
    <row r="671" spans="7:10" x14ac:dyDescent="0.2">
      <c r="G671" s="10"/>
      <c r="H671" s="10"/>
      <c r="I671" s="10"/>
      <c r="J671" s="10"/>
    </row>
    <row r="672" spans="7:10" x14ac:dyDescent="0.2">
      <c r="G672" s="10"/>
      <c r="H672" s="10"/>
      <c r="I672" s="10"/>
      <c r="J672" s="10"/>
    </row>
    <row r="673" spans="7:10" x14ac:dyDescent="0.2">
      <c r="G673" s="10"/>
      <c r="H673" s="10"/>
      <c r="I673" s="10"/>
      <c r="J673" s="10"/>
    </row>
    <row r="674" spans="7:10" x14ac:dyDescent="0.2">
      <c r="G674" s="10"/>
      <c r="H674" s="10"/>
      <c r="I674" s="10"/>
      <c r="J674" s="10"/>
    </row>
    <row r="675" spans="7:10" x14ac:dyDescent="0.2">
      <c r="G675" s="10"/>
      <c r="H675" s="10"/>
      <c r="I675" s="10"/>
      <c r="J675" s="10"/>
    </row>
    <row r="676" spans="7:10" x14ac:dyDescent="0.2">
      <c r="G676" s="10"/>
      <c r="H676" s="10"/>
      <c r="I676" s="10"/>
      <c r="J676" s="10"/>
    </row>
    <row r="677" spans="7:10" x14ac:dyDescent="0.2">
      <c r="G677" s="10"/>
      <c r="H677" s="10"/>
      <c r="I677" s="10"/>
      <c r="J677" s="10"/>
    </row>
    <row r="678" spans="7:10" x14ac:dyDescent="0.2">
      <c r="G678" s="10"/>
      <c r="H678" s="10"/>
      <c r="I678" s="10"/>
      <c r="J678" s="10"/>
    </row>
    <row r="679" spans="7:10" x14ac:dyDescent="0.2">
      <c r="G679" s="10"/>
      <c r="H679" s="10"/>
      <c r="I679" s="10"/>
      <c r="J679" s="10"/>
    </row>
    <row r="680" spans="7:10" x14ac:dyDescent="0.2">
      <c r="G680" s="10"/>
      <c r="H680" s="10"/>
      <c r="I680" s="10"/>
      <c r="J680" s="10"/>
    </row>
    <row r="681" spans="7:10" x14ac:dyDescent="0.2">
      <c r="G681" s="10"/>
      <c r="H681" s="10"/>
      <c r="I681" s="10"/>
      <c r="J681" s="10"/>
    </row>
    <row r="682" spans="7:10" x14ac:dyDescent="0.2">
      <c r="G682" s="10"/>
      <c r="H682" s="10"/>
      <c r="I682" s="10"/>
      <c r="J682" s="10"/>
    </row>
    <row r="683" spans="7:10" x14ac:dyDescent="0.2">
      <c r="G683" s="10"/>
      <c r="H683" s="10"/>
      <c r="I683" s="10"/>
      <c r="J683" s="10"/>
    </row>
    <row r="684" spans="7:10" x14ac:dyDescent="0.2">
      <c r="G684" s="10"/>
      <c r="H684" s="10"/>
      <c r="I684" s="10"/>
      <c r="J684" s="10"/>
    </row>
    <row r="685" spans="7:10" x14ac:dyDescent="0.2">
      <c r="G685" s="10"/>
      <c r="H685" s="10"/>
      <c r="I685" s="10"/>
      <c r="J685" s="10"/>
    </row>
    <row r="686" spans="7:10" x14ac:dyDescent="0.2">
      <c r="G686" s="10"/>
      <c r="H686" s="10"/>
      <c r="I686" s="10"/>
      <c r="J686" s="10"/>
    </row>
    <row r="687" spans="7:10" x14ac:dyDescent="0.2">
      <c r="G687" s="10"/>
      <c r="H687" s="10"/>
      <c r="I687" s="10"/>
      <c r="J687" s="10"/>
    </row>
    <row r="688" spans="7:10" x14ac:dyDescent="0.2">
      <c r="G688" s="10"/>
      <c r="H688" s="10"/>
      <c r="I688" s="10"/>
      <c r="J688" s="10"/>
    </row>
    <row r="689" spans="7:10" x14ac:dyDescent="0.2">
      <c r="G689" s="10"/>
      <c r="H689" s="10"/>
      <c r="I689" s="10"/>
      <c r="J689" s="10"/>
    </row>
    <row r="690" spans="7:10" x14ac:dyDescent="0.2">
      <c r="G690" s="10"/>
      <c r="H690" s="10"/>
      <c r="I690" s="10"/>
      <c r="J690" s="10"/>
    </row>
    <row r="691" spans="7:10" x14ac:dyDescent="0.2">
      <c r="G691" s="10"/>
      <c r="H691" s="10"/>
      <c r="I691" s="10"/>
      <c r="J691" s="10"/>
    </row>
    <row r="692" spans="7:10" x14ac:dyDescent="0.2">
      <c r="G692" s="10"/>
      <c r="H692" s="10"/>
      <c r="I692" s="10"/>
      <c r="J692" s="10"/>
    </row>
    <row r="693" spans="7:10" x14ac:dyDescent="0.2">
      <c r="G693" s="10"/>
      <c r="H693" s="10"/>
      <c r="I693" s="10"/>
      <c r="J693" s="10"/>
    </row>
    <row r="694" spans="7:10" x14ac:dyDescent="0.2">
      <c r="G694" s="10"/>
      <c r="H694" s="10"/>
      <c r="I694" s="10"/>
      <c r="J694" s="10"/>
    </row>
    <row r="695" spans="7:10" x14ac:dyDescent="0.2">
      <c r="G695" s="10"/>
      <c r="H695" s="10"/>
      <c r="I695" s="10"/>
      <c r="J695" s="10"/>
    </row>
    <row r="696" spans="7:10" x14ac:dyDescent="0.2">
      <c r="G696" s="10"/>
      <c r="H696" s="10"/>
      <c r="I696" s="10"/>
      <c r="J696" s="10"/>
    </row>
    <row r="697" spans="7:10" x14ac:dyDescent="0.2">
      <c r="G697" s="10"/>
      <c r="H697" s="10"/>
      <c r="I697" s="10"/>
      <c r="J697" s="10"/>
    </row>
    <row r="698" spans="7:10" x14ac:dyDescent="0.2">
      <c r="G698" s="10"/>
      <c r="H698" s="10"/>
      <c r="I698" s="10"/>
      <c r="J698" s="10"/>
    </row>
    <row r="699" spans="7:10" x14ac:dyDescent="0.2">
      <c r="G699" s="10"/>
      <c r="H699" s="10"/>
      <c r="I699" s="10"/>
      <c r="J699" s="10"/>
    </row>
    <row r="700" spans="7:10" x14ac:dyDescent="0.2">
      <c r="G700" s="10"/>
      <c r="H700" s="10"/>
      <c r="I700" s="10"/>
      <c r="J700" s="10"/>
    </row>
    <row r="701" spans="7:10" x14ac:dyDescent="0.2">
      <c r="G701" s="10"/>
      <c r="H701" s="10"/>
      <c r="I701" s="10"/>
      <c r="J701" s="10"/>
    </row>
    <row r="702" spans="7:10" x14ac:dyDescent="0.2">
      <c r="G702" s="10"/>
      <c r="H702" s="10"/>
      <c r="I702" s="10"/>
      <c r="J702" s="10"/>
    </row>
    <row r="703" spans="7:10" x14ac:dyDescent="0.2">
      <c r="G703" s="10"/>
      <c r="H703" s="10"/>
      <c r="I703" s="10"/>
      <c r="J703" s="10"/>
    </row>
  </sheetData>
  <mergeCells count="12">
    <mergeCell ref="B49:E49"/>
    <mergeCell ref="B57:E57"/>
    <mergeCell ref="B33:E33"/>
    <mergeCell ref="B1:E1"/>
    <mergeCell ref="B41:E41"/>
    <mergeCell ref="B47:E47"/>
    <mergeCell ref="B48:E48"/>
    <mergeCell ref="G1:J1"/>
    <mergeCell ref="B2:E2"/>
    <mergeCell ref="B6:E6"/>
    <mergeCell ref="B16:E16"/>
    <mergeCell ref="B25:E25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B6CA8"/>
  </sheetPr>
  <dimension ref="A1:DU1288"/>
  <sheetViews>
    <sheetView zoomScaleNormal="100" workbookViewId="0">
      <pane xSplit="2" ySplit="3" topLeftCell="C4" activePane="bottomRight" state="frozen"/>
      <selection activeCell="V18" sqref="V18"/>
      <selection pane="topRight" activeCell="V18" sqref="V18"/>
      <selection pane="bottomLeft" activeCell="V18" sqref="V18"/>
      <selection pane="bottomRight" activeCell="L4" sqref="L4"/>
    </sheetView>
  </sheetViews>
  <sheetFormatPr baseColWidth="10" defaultColWidth="8.6640625" defaultRowHeight="14" x14ac:dyDescent="0.2"/>
  <cols>
    <col min="1" max="1" width="5.33203125" style="10" customWidth="1"/>
    <col min="2" max="2" width="12.5" style="12" bestFit="1" customWidth="1"/>
    <col min="3" max="3" width="10" style="12" customWidth="1"/>
    <col min="4" max="4" width="8.1640625" style="12" customWidth="1"/>
    <col min="5" max="5" width="10.5" style="12" customWidth="1"/>
    <col min="6" max="6" width="12.33203125" style="12" customWidth="1"/>
    <col min="7" max="7" width="11.5" style="12" customWidth="1"/>
    <col min="8" max="8" width="10.1640625" style="12" customWidth="1"/>
    <col min="9" max="9" width="17.1640625" style="12" customWidth="1"/>
    <col min="10" max="10" width="12" style="10" customWidth="1"/>
    <col min="11" max="13" width="8.6640625" style="10"/>
    <col min="14" max="14" width="6.5" style="10" customWidth="1"/>
    <col min="15" max="125" width="8.6640625" style="10"/>
    <col min="126" max="16384" width="8.6640625" style="12"/>
  </cols>
  <sheetData>
    <row r="1" spans="1:125" ht="15" customHeight="1" x14ac:dyDescent="0.2">
      <c r="B1" s="256" t="s">
        <v>114</v>
      </c>
      <c r="C1" s="256"/>
      <c r="D1" s="256"/>
      <c r="E1" s="256"/>
      <c r="F1" s="256"/>
      <c r="G1" s="256"/>
      <c r="H1" s="256"/>
      <c r="I1" s="256"/>
      <c r="J1" s="34"/>
    </row>
    <row r="2" spans="1:125" ht="15" x14ac:dyDescent="0.2">
      <c r="B2" s="385" t="s">
        <v>115</v>
      </c>
      <c r="C2" s="385"/>
      <c r="D2" s="385"/>
      <c r="E2" s="385"/>
      <c r="F2" s="384" t="str">
        <f>'8 Parametros Avancados'!F5</f>
        <v>Base</v>
      </c>
      <c r="G2" s="10"/>
      <c r="H2" s="10"/>
      <c r="I2" s="10"/>
    </row>
    <row r="3" spans="1:125" ht="45" x14ac:dyDescent="0.2">
      <c r="B3" s="11" t="s">
        <v>18</v>
      </c>
      <c r="C3" s="11" t="s">
        <v>116</v>
      </c>
      <c r="D3" s="11" t="s">
        <v>117</v>
      </c>
      <c r="E3" s="11" t="s">
        <v>118</v>
      </c>
      <c r="F3" s="11" t="s">
        <v>422</v>
      </c>
      <c r="G3" s="11" t="s">
        <v>119</v>
      </c>
      <c r="H3" s="11" t="s">
        <v>120</v>
      </c>
      <c r="I3" s="11" t="s">
        <v>121</v>
      </c>
    </row>
    <row r="4" spans="1:125" ht="15" customHeight="1" x14ac:dyDescent="0.2">
      <c r="B4" s="19">
        <v>2022</v>
      </c>
      <c r="C4" s="20" t="s">
        <v>122</v>
      </c>
      <c r="D4" s="114">
        <f>INDEX('8 Parametros Avancados'!$M$38:$M$64,MATCH(B4,'8 Parametros Avancados'!$I$38:$I$64,0))</f>
        <v>0.18</v>
      </c>
      <c r="E4" s="106">
        <f>D4*'1 Premissas'!C14</f>
        <v>9.3869999999999987</v>
      </c>
      <c r="F4" s="114">
        <f>+'8 Parametros Avancados'!D31</f>
        <v>4.24</v>
      </c>
      <c r="G4" s="106">
        <f>E4*F4</f>
        <v>39.800879999999999</v>
      </c>
      <c r="H4" s="106">
        <f>G4*'8 Parametros Avancados'!F9</f>
        <v>0.79601759999999999</v>
      </c>
      <c r="I4" s="106">
        <f t="shared" ref="I4:I30" si="0">G4-H4</f>
        <v>39.0048624</v>
      </c>
    </row>
    <row r="5" spans="1:125" ht="15" customHeight="1" x14ac:dyDescent="0.2">
      <c r="B5" s="19">
        <v>2023</v>
      </c>
      <c r="C5" s="20" t="s">
        <v>122</v>
      </c>
      <c r="D5" s="114">
        <f>INDEX('8 Parametros Avancados'!$M$38:$M$64,MATCH(B5,'8 Parametros Avancados'!$I$38:$I$64,0))</f>
        <v>2.7320000000000002</v>
      </c>
      <c r="E5" s="106">
        <f>D5*'1 Premissas'!C14</f>
        <v>142.47380000000001</v>
      </c>
      <c r="F5" s="114">
        <f>+'8 Parametros Avancados'!D32</f>
        <v>9.0500000000000007</v>
      </c>
      <c r="G5" s="106">
        <f t="shared" ref="G5:G30" si="1">E5*F5</f>
        <v>1289.3878900000002</v>
      </c>
      <c r="H5" s="106">
        <f>G5*'8 Parametros Avancados'!F9</f>
        <v>25.787757800000005</v>
      </c>
      <c r="I5" s="106">
        <f>G5-H5</f>
        <v>1263.6001322000002</v>
      </c>
    </row>
    <row r="6" spans="1:125" ht="15" customHeight="1" x14ac:dyDescent="0.2">
      <c r="B6" s="24">
        <v>2024</v>
      </c>
      <c r="C6" s="25" t="s">
        <v>123</v>
      </c>
      <c r="D6" s="115">
        <f>INDEX('8 Parametros Avancados'!$M$38:$M$64,MATCH(B6,'8 Parametros Avancados'!$I$38:$I$64,0))</f>
        <v>3.33</v>
      </c>
      <c r="E6" s="4">
        <f>D6*'1 Premissas'!C14</f>
        <v>173.65950000000001</v>
      </c>
      <c r="F6" s="115">
        <f>+'8 Parametros Avancados'!D33</f>
        <v>9.52</v>
      </c>
      <c r="G6" s="4">
        <f t="shared" si="1"/>
        <v>1653.2384400000001</v>
      </c>
      <c r="H6" s="4">
        <f>G6*'8 Parametros Avancados'!F9</f>
        <v>33.064768800000003</v>
      </c>
      <c r="I6" s="4">
        <f t="shared" si="0"/>
        <v>1620.1736712000002</v>
      </c>
    </row>
    <row r="7" spans="1:125" ht="15" customHeight="1" x14ac:dyDescent="0.2">
      <c r="B7" s="24">
        <v>2025</v>
      </c>
      <c r="C7" s="25" t="s">
        <v>123</v>
      </c>
      <c r="D7" s="115">
        <f>INDEX('8 Parametros Avancados'!$M$38:$M$64,MATCH(B7,'8 Parametros Avancados'!$I$38:$I$64,0))</f>
        <v>3.48</v>
      </c>
      <c r="E7" s="4">
        <f>D7*'1 Premissas'!C14</f>
        <v>181.482</v>
      </c>
      <c r="F7" s="115">
        <f>+'8 Parametros Avancados'!D34</f>
        <v>8.73</v>
      </c>
      <c r="G7" s="4">
        <f t="shared" si="1"/>
        <v>1584.3378600000001</v>
      </c>
      <c r="H7" s="4">
        <f>G7*'8 Parametros Avancados'!F9</f>
        <v>31.686757200000002</v>
      </c>
      <c r="I7" s="4">
        <f t="shared" si="0"/>
        <v>1552.6511028</v>
      </c>
    </row>
    <row r="8" spans="1:125" ht="27" customHeight="1" x14ac:dyDescent="0.2">
      <c r="B8" s="24">
        <v>2026</v>
      </c>
      <c r="C8" s="25" t="s">
        <v>123</v>
      </c>
      <c r="D8" s="4">
        <f>INDEX('8 Parametros Avancados'!$M$38:$M$64,MATCH(B8,'8 Parametros Avancados'!$I$38:$I$64,0))</f>
        <v>3.29</v>
      </c>
      <c r="E8" s="4">
        <f>D8*'1 Premissas'!C14</f>
        <v>171.5735</v>
      </c>
      <c r="F8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8" s="4">
        <f t="shared" si="1"/>
        <v>2058.8820000000001</v>
      </c>
      <c r="H8" s="4">
        <f>G8*'8 Parametros Avancados'!F9</f>
        <v>41.177640000000004</v>
      </c>
      <c r="I8" s="4">
        <f t="shared" si="0"/>
        <v>2017.70436</v>
      </c>
    </row>
    <row r="9" spans="1:125" ht="15" customHeight="1" x14ac:dyDescent="0.2">
      <c r="B9" s="24">
        <v>2027</v>
      </c>
      <c r="C9" s="25" t="s">
        <v>123</v>
      </c>
      <c r="D9" s="4">
        <f>INDEX('8 Parametros Avancados'!$M$38:$M$64,MATCH(B9,'8 Parametros Avancados'!$I$38:$I$64,0))</f>
        <v>3.37</v>
      </c>
      <c r="E9" s="4">
        <f>D9*'1 Premissas'!C14</f>
        <v>175.74549999999999</v>
      </c>
      <c r="F9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9" s="4">
        <f t="shared" si="1"/>
        <v>2108.9459999999999</v>
      </c>
      <c r="H9" s="4">
        <f>G9*'8 Parametros Avancados'!F9</f>
        <v>42.178919999999998</v>
      </c>
      <c r="I9" s="4">
        <f t="shared" si="0"/>
        <v>2066.7670800000001</v>
      </c>
      <c r="J9" s="116"/>
      <c r="K9" s="116"/>
      <c r="L9" s="116"/>
    </row>
    <row r="10" spans="1:125" ht="15" customHeight="1" x14ac:dyDescent="0.2">
      <c r="B10" s="24">
        <v>2028</v>
      </c>
      <c r="C10" s="25" t="s">
        <v>123</v>
      </c>
      <c r="D10" s="4">
        <f>INDEX('8 Parametros Avancados'!$M$38:$M$64,MATCH(B10,'8 Parametros Avancados'!$I$38:$I$64,0))</f>
        <v>3.37</v>
      </c>
      <c r="E10" s="4">
        <f>D10*'1 Premissas'!C14</f>
        <v>175.74549999999999</v>
      </c>
      <c r="F10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0" s="4">
        <f t="shared" si="1"/>
        <v>2108.9459999999999</v>
      </c>
      <c r="H10" s="4">
        <f>G10*'8 Parametros Avancados'!F9</f>
        <v>42.178919999999998</v>
      </c>
      <c r="I10" s="4">
        <f t="shared" si="0"/>
        <v>2066.7670800000001</v>
      </c>
    </row>
    <row r="11" spans="1:125" ht="15" customHeight="1" x14ac:dyDescent="0.2">
      <c r="B11" s="24">
        <v>2029</v>
      </c>
      <c r="C11" s="25" t="s">
        <v>123</v>
      </c>
      <c r="D11" s="4">
        <f>INDEX('8 Parametros Avancados'!$M$38:$M$64,MATCH(B11,'8 Parametros Avancados'!$I$38:$I$64,0))</f>
        <v>3.37</v>
      </c>
      <c r="E11" s="4">
        <f>D11*'1 Premissas'!C14</f>
        <v>175.74549999999999</v>
      </c>
      <c r="F11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1" s="4">
        <f t="shared" si="1"/>
        <v>2108.9459999999999</v>
      </c>
      <c r="H11" s="4">
        <f>G11*'8 Parametros Avancados'!F9</f>
        <v>42.178919999999998</v>
      </c>
      <c r="I11" s="4">
        <f t="shared" si="0"/>
        <v>2066.7670800000001</v>
      </c>
    </row>
    <row r="12" spans="1:125" ht="15" customHeight="1" x14ac:dyDescent="0.2">
      <c r="B12" s="24">
        <v>2030</v>
      </c>
      <c r="C12" s="25" t="s">
        <v>123</v>
      </c>
      <c r="D12" s="4">
        <f>INDEX('8 Parametros Avancados'!$M$38:$M$64,MATCH(B12,'8 Parametros Avancados'!$I$38:$I$64,0))</f>
        <v>3.37</v>
      </c>
      <c r="E12" s="4">
        <f>D12*'1 Premissas'!C14</f>
        <v>175.74549999999999</v>
      </c>
      <c r="F12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2" s="4">
        <f t="shared" si="1"/>
        <v>2108.9459999999999</v>
      </c>
      <c r="H12" s="4">
        <f>G12*'8 Parametros Avancados'!F9</f>
        <v>42.178919999999998</v>
      </c>
      <c r="I12" s="4">
        <f t="shared" si="0"/>
        <v>2066.7670800000001</v>
      </c>
    </row>
    <row r="13" spans="1:125" ht="35" customHeight="1" x14ac:dyDescent="0.2">
      <c r="B13" s="24">
        <v>2031</v>
      </c>
      <c r="C13" s="25" t="s">
        <v>123</v>
      </c>
      <c r="D13" s="4">
        <f>INDEX('8 Parametros Avancados'!$M$38:$M$64,MATCH(B13,'8 Parametros Avancados'!$I$38:$I$64,0))</f>
        <v>3.37</v>
      </c>
      <c r="E13" s="4">
        <f>D13*'1 Premissas'!C14</f>
        <v>175.74549999999999</v>
      </c>
      <c r="F13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3" s="4">
        <f t="shared" si="1"/>
        <v>2108.9459999999999</v>
      </c>
      <c r="H13" s="4">
        <f>G13*'8 Parametros Avancados'!F9</f>
        <v>42.178919999999998</v>
      </c>
      <c r="I13" s="4">
        <f t="shared" si="0"/>
        <v>2066.7670800000001</v>
      </c>
    </row>
    <row r="14" spans="1:125" s="117" customFormat="1" ht="15" customHeight="1" x14ac:dyDescent="0.2">
      <c r="A14" s="116"/>
      <c r="B14" s="24">
        <v>2032</v>
      </c>
      <c r="C14" s="25" t="s">
        <v>123</v>
      </c>
      <c r="D14" s="4">
        <f>INDEX('8 Parametros Avancados'!$M$38:$M$64,MATCH(B14,'8 Parametros Avancados'!$I$38:$I$64,0))</f>
        <v>3.37</v>
      </c>
      <c r="E14" s="4">
        <f>D14*'1 Premissas'!C14</f>
        <v>175.74549999999999</v>
      </c>
      <c r="F14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4" s="4">
        <f t="shared" si="1"/>
        <v>2108.9459999999999</v>
      </c>
      <c r="H14" s="4">
        <f>G14*'8 Parametros Avancados'!F9</f>
        <v>42.178919999999998</v>
      </c>
      <c r="I14" s="4">
        <f t="shared" si="0"/>
        <v>2066.7670800000001</v>
      </c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</row>
    <row r="15" spans="1:125" ht="15" customHeight="1" x14ac:dyDescent="0.2">
      <c r="B15" s="24">
        <v>2033</v>
      </c>
      <c r="C15" s="25" t="s">
        <v>123</v>
      </c>
      <c r="D15" s="4">
        <f>INDEX('8 Parametros Avancados'!$M$38:$M$64,MATCH(B15,'8 Parametros Avancados'!$I$38:$I$64,0))</f>
        <v>3.37</v>
      </c>
      <c r="E15" s="4">
        <f>D15*'1 Premissas'!C14</f>
        <v>175.74549999999999</v>
      </c>
      <c r="F15" s="4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5" s="4">
        <f t="shared" si="1"/>
        <v>2108.9459999999999</v>
      </c>
      <c r="H15" s="4">
        <f>G15*'8 Parametros Avancados'!F9</f>
        <v>42.178919999999998</v>
      </c>
      <c r="I15" s="4">
        <f t="shared" si="0"/>
        <v>2066.7670800000001</v>
      </c>
    </row>
    <row r="16" spans="1:125" ht="15" customHeight="1" x14ac:dyDescent="0.2">
      <c r="B16" s="29">
        <v>2034</v>
      </c>
      <c r="C16" s="30" t="s">
        <v>124</v>
      </c>
      <c r="D16" s="5">
        <f>INDEX('8 Parametros Avancados'!$M$38:$M$64,MATCH(B16,'8 Parametros Avancados'!$I$38:$I$64,0))</f>
        <v>3.1341000000000001</v>
      </c>
      <c r="E16" s="5">
        <f>D16*'1 Premissas'!C14</f>
        <v>163.44331500000001</v>
      </c>
      <c r="F16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6" s="5">
        <f t="shared" si="1"/>
        <v>1961.3197800000003</v>
      </c>
      <c r="H16" s="5">
        <f>G16*'8 Parametros Avancados'!F9</f>
        <v>39.226395600000004</v>
      </c>
      <c r="I16" s="5">
        <f t="shared" si="0"/>
        <v>1922.0933844000003</v>
      </c>
    </row>
    <row r="17" spans="2:10" ht="15" customHeight="1" x14ac:dyDescent="0.2">
      <c r="B17" s="29">
        <v>2035</v>
      </c>
      <c r="C17" s="30" t="s">
        <v>124</v>
      </c>
      <c r="D17" s="5">
        <f>INDEX('8 Parametros Avancados'!$M$38:$M$64,MATCH(B17,'8 Parametros Avancados'!$I$38:$I$64,0))</f>
        <v>2.9147129999999999</v>
      </c>
      <c r="E17" s="5">
        <f>D17*'1 Premissas'!C14</f>
        <v>152.00228294999999</v>
      </c>
      <c r="F17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7" s="5">
        <f t="shared" si="1"/>
        <v>1824.0273953999999</v>
      </c>
      <c r="H17" s="5">
        <f>G17*'8 Parametros Avancados'!F9</f>
        <v>36.480547907999998</v>
      </c>
      <c r="I17" s="5">
        <f t="shared" si="0"/>
        <v>1787.5468474919999</v>
      </c>
    </row>
    <row r="18" spans="2:10" ht="15" customHeight="1" x14ac:dyDescent="0.2">
      <c r="B18" s="29">
        <v>2036</v>
      </c>
      <c r="C18" s="30" t="s">
        <v>124</v>
      </c>
      <c r="D18" s="5">
        <f>INDEX('8 Parametros Avancados'!$M$38:$M$64,MATCH(B18,'8 Parametros Avancados'!$I$38:$I$64,0))</f>
        <v>2.7106830899999999</v>
      </c>
      <c r="E18" s="5">
        <f>D18*'1 Premissas'!C14</f>
        <v>141.36212314349999</v>
      </c>
      <c r="F18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8" s="5">
        <f t="shared" si="1"/>
        <v>1696.3454777219999</v>
      </c>
      <c r="H18" s="5">
        <f>G18*'8 Parametros Avancados'!F9</f>
        <v>33.926909554440002</v>
      </c>
      <c r="I18" s="5">
        <f t="shared" si="0"/>
        <v>1662.4185681675599</v>
      </c>
    </row>
    <row r="19" spans="2:10" ht="15" customHeight="1" x14ac:dyDescent="0.2">
      <c r="B19" s="29">
        <v>2037</v>
      </c>
      <c r="C19" s="30" t="s">
        <v>124</v>
      </c>
      <c r="D19" s="5">
        <f>INDEX('8 Parametros Avancados'!$M$38:$M$64,MATCH(B19,'8 Parametros Avancados'!$I$38:$I$64,0))</f>
        <v>2.5209352736999993</v>
      </c>
      <c r="E19" s="5">
        <f>D19*'1 Premissas'!C14</f>
        <v>131.46677452345494</v>
      </c>
      <c r="F19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19" s="5">
        <f t="shared" si="1"/>
        <v>1577.6012942814593</v>
      </c>
      <c r="H19" s="5">
        <f>G19*'8 Parametros Avancados'!F9</f>
        <v>31.552025885629188</v>
      </c>
      <c r="I19" s="5">
        <f t="shared" si="0"/>
        <v>1546.04926839583</v>
      </c>
    </row>
    <row r="20" spans="2:10" ht="15" customHeight="1" x14ac:dyDescent="0.2">
      <c r="B20" s="29">
        <v>2038</v>
      </c>
      <c r="C20" s="30" t="s">
        <v>124</v>
      </c>
      <c r="D20" s="5">
        <f>INDEX('8 Parametros Avancados'!$M$38:$M$64,MATCH(B20,'8 Parametros Avancados'!$I$38:$I$64,0))</f>
        <v>2.3444698045409993</v>
      </c>
      <c r="E20" s="5">
        <f>D20*'1 Premissas'!C14</f>
        <v>122.26410030681311</v>
      </c>
      <c r="F20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0" s="5">
        <f t="shared" si="1"/>
        <v>1467.1692036817572</v>
      </c>
      <c r="H20" s="5">
        <f>G20*'8 Parametros Avancados'!F9</f>
        <v>29.343384073635143</v>
      </c>
      <c r="I20" s="5">
        <f t="shared" si="0"/>
        <v>1437.8258196081219</v>
      </c>
    </row>
    <row r="21" spans="2:10" ht="15" customHeight="1" x14ac:dyDescent="0.2">
      <c r="B21" s="29">
        <v>2039</v>
      </c>
      <c r="C21" s="30" t="s">
        <v>124</v>
      </c>
      <c r="D21" s="5">
        <f>INDEX('8 Parametros Avancados'!$M$38:$M$64,MATCH(B21,'8 Parametros Avancados'!$I$38:$I$64,0))</f>
        <v>2.1803569182231293</v>
      </c>
      <c r="E21" s="5">
        <f>D21*'1 Premissas'!C14</f>
        <v>113.70561328533618</v>
      </c>
      <c r="F21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1" s="5">
        <f t="shared" si="1"/>
        <v>1364.4673594240342</v>
      </c>
      <c r="H21" s="5">
        <f>G21*'8 Parametros Avancados'!F9</f>
        <v>27.289347188480683</v>
      </c>
      <c r="I21" s="5">
        <f t="shared" si="0"/>
        <v>1337.1780122355535</v>
      </c>
    </row>
    <row r="22" spans="2:10" ht="15" customHeight="1" x14ac:dyDescent="0.2">
      <c r="B22" s="29">
        <v>2040</v>
      </c>
      <c r="C22" s="30" t="s">
        <v>124</v>
      </c>
      <c r="D22" s="5">
        <f>INDEX('8 Parametros Avancados'!$M$38:$M$64,MATCH(B22,'8 Parametros Avancados'!$I$38:$I$64,0))</f>
        <v>2.0277319339475102</v>
      </c>
      <c r="E22" s="5">
        <f>D22*'1 Premissas'!C14</f>
        <v>105.74622035536265</v>
      </c>
      <c r="F22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2" s="5">
        <f t="shared" si="1"/>
        <v>1268.9546442643518</v>
      </c>
      <c r="H22" s="5">
        <f>G22*'8 Parametros Avancados'!F9</f>
        <v>25.379092885287037</v>
      </c>
      <c r="I22" s="5">
        <f t="shared" si="0"/>
        <v>1243.5755513790648</v>
      </c>
    </row>
    <row r="23" spans="2:10" ht="15" customHeight="1" x14ac:dyDescent="0.2">
      <c r="B23" s="29">
        <v>2041</v>
      </c>
      <c r="C23" s="30" t="s">
        <v>124</v>
      </c>
      <c r="D23" s="5">
        <f>INDEX('8 Parametros Avancados'!$M$38:$M$64,MATCH(B23,'8 Parametros Avancados'!$I$38:$I$64,0))</f>
        <v>1.8857906985711841</v>
      </c>
      <c r="E23" s="5">
        <f>D23*'1 Premissas'!C14</f>
        <v>98.343984930487252</v>
      </c>
      <c r="F23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3" s="5">
        <f t="shared" si="1"/>
        <v>1180.1278191658471</v>
      </c>
      <c r="H23" s="5">
        <f>G23*'8 Parametros Avancados'!F9</f>
        <v>23.602556383316941</v>
      </c>
      <c r="I23" s="5">
        <f t="shared" si="0"/>
        <v>1156.52526278253</v>
      </c>
    </row>
    <row r="24" spans="2:10" ht="15" customHeight="1" x14ac:dyDescent="0.2">
      <c r="B24" s="29">
        <v>2042</v>
      </c>
      <c r="C24" s="30" t="s">
        <v>124</v>
      </c>
      <c r="D24" s="5">
        <f>INDEX('8 Parametros Avancados'!$M$38:$M$64,MATCH(B24,'8 Parametros Avancados'!$I$38:$I$64,0))</f>
        <v>1.753785349671201</v>
      </c>
      <c r="E24" s="5">
        <f>D24*'1 Premissas'!C14</f>
        <v>91.459905985353132</v>
      </c>
      <c r="F24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4" s="5">
        <f t="shared" si="1"/>
        <v>1097.5188718242375</v>
      </c>
      <c r="H24" s="5">
        <f>G24*'8 Parametros Avancados'!F9</f>
        <v>21.95037743648475</v>
      </c>
      <c r="I24" s="5">
        <f t="shared" si="0"/>
        <v>1075.5684943877527</v>
      </c>
    </row>
    <row r="25" spans="2:10" ht="15" customHeight="1" x14ac:dyDescent="0.2">
      <c r="B25" s="29">
        <v>2043</v>
      </c>
      <c r="C25" s="30" t="s">
        <v>124</v>
      </c>
      <c r="D25" s="5">
        <f>INDEX('8 Parametros Avancados'!$M$38:$M$64,MATCH(B25,'8 Parametros Avancados'!$I$38:$I$64,0))</f>
        <v>1.6310203751942169</v>
      </c>
      <c r="E25" s="5">
        <f>D25*'1 Premissas'!C14</f>
        <v>85.057712566378413</v>
      </c>
      <c r="F25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5" s="5">
        <f t="shared" si="1"/>
        <v>1020.6925507965409</v>
      </c>
      <c r="H25" s="5">
        <f>G25*'8 Parametros Avancados'!F9</f>
        <v>20.413851015930817</v>
      </c>
      <c r="I25" s="5">
        <f t="shared" si="0"/>
        <v>1000.2786997806101</v>
      </c>
    </row>
    <row r="26" spans="2:10" ht="15" customHeight="1" x14ac:dyDescent="0.2">
      <c r="B26" s="29">
        <v>2044</v>
      </c>
      <c r="C26" s="30" t="s">
        <v>124</v>
      </c>
      <c r="D26" s="5">
        <f>INDEX('8 Parametros Avancados'!$M$38:$M$64,MATCH(B26,'8 Parametros Avancados'!$I$38:$I$64,0))</f>
        <v>1.5168489489306216</v>
      </c>
      <c r="E26" s="5">
        <f>D26*'1 Premissas'!C14</f>
        <v>79.103672686731912</v>
      </c>
      <c r="F26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6" s="5">
        <f t="shared" si="1"/>
        <v>949.244072240783</v>
      </c>
      <c r="H26" s="5">
        <f>G26*'8 Parametros Avancados'!F9</f>
        <v>18.98488144481566</v>
      </c>
      <c r="I26" s="5">
        <f t="shared" si="0"/>
        <v>930.25919079596736</v>
      </c>
    </row>
    <row r="27" spans="2:10" ht="15" customHeight="1" x14ac:dyDescent="0.2">
      <c r="B27" s="29">
        <v>2045</v>
      </c>
      <c r="C27" s="30" t="s">
        <v>124</v>
      </c>
      <c r="D27" s="5">
        <f>INDEX('8 Parametros Avancados'!$M$38:$M$64,MATCH(B27,'8 Parametros Avancados'!$I$38:$I$64,0))</f>
        <v>1.4106695225054779</v>
      </c>
      <c r="E27" s="5">
        <f>D27*'1 Premissas'!C14</f>
        <v>73.566415598660669</v>
      </c>
      <c r="F27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7" s="5">
        <f t="shared" si="1"/>
        <v>882.79698718392797</v>
      </c>
      <c r="H27" s="5">
        <f>G27*'8 Parametros Avancados'!F9</f>
        <v>17.655939743678559</v>
      </c>
      <c r="I27" s="5">
        <f t="shared" si="0"/>
        <v>865.14104744024939</v>
      </c>
    </row>
    <row r="28" spans="2:10" ht="15" customHeight="1" x14ac:dyDescent="0.2">
      <c r="B28" s="29">
        <v>2046</v>
      </c>
      <c r="C28" s="30" t="s">
        <v>124</v>
      </c>
      <c r="D28" s="5">
        <f>INDEX('8 Parametros Avancados'!$M$38:$M$64,MATCH(B28,'8 Parametros Avancados'!$I$38:$I$64,0))</f>
        <v>1.3119226559300945</v>
      </c>
      <c r="E28" s="5">
        <f>D28*'1 Premissas'!C14</f>
        <v>68.416766506754428</v>
      </c>
      <c r="F28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8" s="5">
        <f t="shared" si="1"/>
        <v>821.00119808105319</v>
      </c>
      <c r="H28" s="5">
        <f>G28*'8 Parametros Avancados'!F9</f>
        <v>16.420023961621062</v>
      </c>
      <c r="I28" s="5">
        <f t="shared" si="0"/>
        <v>804.58117411943215</v>
      </c>
    </row>
    <row r="29" spans="2:10" ht="15" customHeight="1" x14ac:dyDescent="0.2">
      <c r="B29" s="29">
        <v>2047</v>
      </c>
      <c r="C29" s="30" t="s">
        <v>124</v>
      </c>
      <c r="D29" s="5">
        <f>INDEX('8 Parametros Avancados'!$M$38:$M$64,MATCH(B29,'8 Parametros Avancados'!$I$38:$I$64,0))</f>
        <v>1.2200880700149879</v>
      </c>
      <c r="E29" s="5">
        <f>D29*'1 Premissas'!C14</f>
        <v>63.627592851281612</v>
      </c>
      <c r="F29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29" s="5">
        <f t="shared" si="1"/>
        <v>763.53111421537938</v>
      </c>
      <c r="H29" s="5">
        <f>G29*'8 Parametros Avancados'!F9</f>
        <v>15.270622284307589</v>
      </c>
      <c r="I29" s="5">
        <f t="shared" si="0"/>
        <v>748.26049193107178</v>
      </c>
    </row>
    <row r="30" spans="2:10" ht="15" customHeight="1" x14ac:dyDescent="0.2">
      <c r="B30" s="29">
        <v>2048</v>
      </c>
      <c r="C30" s="30" t="s">
        <v>124</v>
      </c>
      <c r="D30" s="5">
        <f>INDEX('8 Parametros Avancados'!$M$38:$M$64,MATCH(B30,'8 Parametros Avancados'!$I$38:$I$64,0))</f>
        <v>1.1346819051139385</v>
      </c>
      <c r="E30" s="5">
        <f>D30*'1 Premissas'!C14</f>
        <v>59.173661351691891</v>
      </c>
      <c r="F30" s="5">
        <f>IF('8 Parametros Avancados'!$F$5="Stress",'8 Parametros Avancados'!$C$17,IF('8 Parametros Avancados'!$F$5="Base",'8 Parametros Avancados'!$D$17,IF('8 Parametros Avancados'!$F$5="Optimista",'8 Parametros Avancados'!$E$17)))</f>
        <v>12</v>
      </c>
      <c r="G30" s="5">
        <f t="shared" si="1"/>
        <v>710.08393622030269</v>
      </c>
      <c r="H30" s="5">
        <f>G30*'8 Parametros Avancados'!F9</f>
        <v>14.201678724406054</v>
      </c>
      <c r="I30" s="5">
        <f t="shared" si="0"/>
        <v>695.88225749589662</v>
      </c>
    </row>
    <row r="31" spans="2:10" ht="15" customHeight="1" x14ac:dyDescent="0.2">
      <c r="B31" s="118" t="s">
        <v>32</v>
      </c>
      <c r="C31" s="118"/>
      <c r="D31" s="107">
        <f>SUM(D4:D30)</f>
        <v>66.299797546343356</v>
      </c>
      <c r="E31" s="107">
        <f>SUM(E4:E30)</f>
        <v>3457.534442041806</v>
      </c>
      <c r="F31" s="119"/>
      <c r="G31" s="107">
        <f>SUM(G4:G30)</f>
        <v>39973.150774501686</v>
      </c>
      <c r="H31" s="107">
        <f>SUM(H4:H30)</f>
        <v>799.4630154900334</v>
      </c>
      <c r="I31" s="107">
        <f>SUM(I4:I30)</f>
        <v>39173.687759011635</v>
      </c>
      <c r="J31" s="171"/>
    </row>
    <row r="32" spans="2:10" s="10" customFormat="1" x14ac:dyDescent="0.2"/>
    <row r="33" spans="2:10" s="116" customFormat="1" ht="15" customHeight="1" x14ac:dyDescent="0.2">
      <c r="B33" s="255" t="s">
        <v>125</v>
      </c>
      <c r="C33" s="255"/>
      <c r="D33" s="255"/>
      <c r="E33" s="255"/>
      <c r="F33" s="255"/>
      <c r="G33" s="255"/>
      <c r="H33" s="255"/>
      <c r="I33" s="255"/>
      <c r="J33" s="255"/>
    </row>
    <row r="34" spans="2:10" s="10" customFormat="1" x14ac:dyDescent="0.2"/>
    <row r="35" spans="2:10" s="10" customFormat="1" x14ac:dyDescent="0.2"/>
    <row r="36" spans="2:10" s="10" customFormat="1" x14ac:dyDescent="0.2"/>
    <row r="37" spans="2:10" s="10" customFormat="1" x14ac:dyDescent="0.2"/>
    <row r="38" spans="2:10" s="10" customFormat="1" x14ac:dyDescent="0.2"/>
    <row r="39" spans="2:10" s="10" customFormat="1" x14ac:dyDescent="0.2"/>
    <row r="40" spans="2:10" s="10" customFormat="1" x14ac:dyDescent="0.2"/>
    <row r="41" spans="2:10" s="10" customFormat="1" x14ac:dyDescent="0.2"/>
    <row r="42" spans="2:10" s="10" customFormat="1" x14ac:dyDescent="0.2"/>
    <row r="43" spans="2:10" s="10" customFormat="1" x14ac:dyDescent="0.2"/>
    <row r="44" spans="2:10" s="10" customFormat="1" x14ac:dyDescent="0.2"/>
    <row r="45" spans="2:10" s="10" customFormat="1" x14ac:dyDescent="0.2"/>
    <row r="46" spans="2:10" s="10" customFormat="1" x14ac:dyDescent="0.2"/>
    <row r="47" spans="2:10" s="10" customFormat="1" x14ac:dyDescent="0.2"/>
    <row r="48" spans="2:10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  <row r="644" s="10" customFormat="1" x14ac:dyDescent="0.2"/>
    <row r="645" s="10" customFormat="1" x14ac:dyDescent="0.2"/>
    <row r="646" s="10" customFormat="1" x14ac:dyDescent="0.2"/>
    <row r="647" s="10" customFormat="1" x14ac:dyDescent="0.2"/>
    <row r="648" s="10" customFormat="1" x14ac:dyDescent="0.2"/>
    <row r="649" s="10" customFormat="1" x14ac:dyDescent="0.2"/>
    <row r="650" s="10" customFormat="1" x14ac:dyDescent="0.2"/>
    <row r="651" s="10" customFormat="1" x14ac:dyDescent="0.2"/>
    <row r="652" s="10" customFormat="1" x14ac:dyDescent="0.2"/>
    <row r="653" s="10" customFormat="1" x14ac:dyDescent="0.2"/>
    <row r="654" s="10" customFormat="1" x14ac:dyDescent="0.2"/>
    <row r="655" s="10" customFormat="1" x14ac:dyDescent="0.2"/>
    <row r="656" s="10" customFormat="1" x14ac:dyDescent="0.2"/>
    <row r="657" s="10" customFormat="1" x14ac:dyDescent="0.2"/>
    <row r="658" s="10" customFormat="1" x14ac:dyDescent="0.2"/>
    <row r="659" s="10" customFormat="1" x14ac:dyDescent="0.2"/>
    <row r="660" s="10" customFormat="1" x14ac:dyDescent="0.2"/>
    <row r="661" s="10" customFormat="1" x14ac:dyDescent="0.2"/>
    <row r="662" s="10" customFormat="1" x14ac:dyDescent="0.2"/>
    <row r="663" s="10" customFormat="1" x14ac:dyDescent="0.2"/>
    <row r="664" s="10" customFormat="1" x14ac:dyDescent="0.2"/>
    <row r="665" s="10" customFormat="1" x14ac:dyDescent="0.2"/>
    <row r="666" s="10" customFormat="1" x14ac:dyDescent="0.2"/>
    <row r="667" s="10" customFormat="1" x14ac:dyDescent="0.2"/>
    <row r="668" s="10" customFormat="1" x14ac:dyDescent="0.2"/>
    <row r="669" s="10" customFormat="1" x14ac:dyDescent="0.2"/>
    <row r="670" s="10" customFormat="1" x14ac:dyDescent="0.2"/>
    <row r="671" s="10" customFormat="1" x14ac:dyDescent="0.2"/>
    <row r="672" s="10" customFormat="1" x14ac:dyDescent="0.2"/>
    <row r="673" s="10" customFormat="1" x14ac:dyDescent="0.2"/>
    <row r="674" s="10" customFormat="1" x14ac:dyDescent="0.2"/>
    <row r="675" s="10" customFormat="1" x14ac:dyDescent="0.2"/>
    <row r="676" s="10" customFormat="1" x14ac:dyDescent="0.2"/>
    <row r="677" s="10" customFormat="1" x14ac:dyDescent="0.2"/>
    <row r="678" s="10" customFormat="1" x14ac:dyDescent="0.2"/>
    <row r="679" s="10" customFormat="1" x14ac:dyDescent="0.2"/>
    <row r="680" s="10" customFormat="1" x14ac:dyDescent="0.2"/>
    <row r="681" s="10" customFormat="1" x14ac:dyDescent="0.2"/>
    <row r="682" s="10" customFormat="1" x14ac:dyDescent="0.2"/>
    <row r="683" s="10" customFormat="1" x14ac:dyDescent="0.2"/>
    <row r="684" s="10" customFormat="1" x14ac:dyDescent="0.2"/>
    <row r="685" s="10" customFormat="1" x14ac:dyDescent="0.2"/>
    <row r="686" s="10" customFormat="1" x14ac:dyDescent="0.2"/>
    <row r="687" s="10" customFormat="1" x14ac:dyDescent="0.2"/>
    <row r="688" s="10" customFormat="1" x14ac:dyDescent="0.2"/>
    <row r="689" s="10" customFormat="1" x14ac:dyDescent="0.2"/>
    <row r="690" s="10" customFormat="1" x14ac:dyDescent="0.2"/>
    <row r="691" s="10" customFormat="1" x14ac:dyDescent="0.2"/>
    <row r="692" s="10" customFormat="1" x14ac:dyDescent="0.2"/>
    <row r="693" s="10" customFormat="1" x14ac:dyDescent="0.2"/>
    <row r="694" s="10" customFormat="1" x14ac:dyDescent="0.2"/>
    <row r="695" s="10" customFormat="1" x14ac:dyDescent="0.2"/>
    <row r="696" s="10" customFormat="1" x14ac:dyDescent="0.2"/>
    <row r="697" s="10" customFormat="1" x14ac:dyDescent="0.2"/>
    <row r="698" s="10" customFormat="1" x14ac:dyDescent="0.2"/>
    <row r="699" s="10" customFormat="1" x14ac:dyDescent="0.2"/>
    <row r="700" s="10" customFormat="1" x14ac:dyDescent="0.2"/>
    <row r="701" s="10" customFormat="1" x14ac:dyDescent="0.2"/>
    <row r="702" s="10" customFormat="1" x14ac:dyDescent="0.2"/>
    <row r="703" s="10" customFormat="1" x14ac:dyDescent="0.2"/>
    <row r="704" s="10" customFormat="1" x14ac:dyDescent="0.2"/>
    <row r="705" s="10" customFormat="1" x14ac:dyDescent="0.2"/>
    <row r="706" s="10" customFormat="1" x14ac:dyDescent="0.2"/>
    <row r="707" s="10" customFormat="1" x14ac:dyDescent="0.2"/>
    <row r="708" s="10" customFormat="1" x14ac:dyDescent="0.2"/>
    <row r="709" s="10" customFormat="1" x14ac:dyDescent="0.2"/>
    <row r="710" s="10" customFormat="1" x14ac:dyDescent="0.2"/>
    <row r="711" s="10" customFormat="1" x14ac:dyDescent="0.2"/>
    <row r="712" s="10" customFormat="1" x14ac:dyDescent="0.2"/>
    <row r="713" s="10" customFormat="1" x14ac:dyDescent="0.2"/>
    <row r="714" s="10" customFormat="1" x14ac:dyDescent="0.2"/>
    <row r="715" s="10" customFormat="1" x14ac:dyDescent="0.2"/>
    <row r="716" s="10" customFormat="1" x14ac:dyDescent="0.2"/>
    <row r="717" s="10" customFormat="1" x14ac:dyDescent="0.2"/>
    <row r="718" s="10" customFormat="1" x14ac:dyDescent="0.2"/>
    <row r="719" s="10" customFormat="1" x14ac:dyDescent="0.2"/>
    <row r="720" s="10" customFormat="1" x14ac:dyDescent="0.2"/>
    <row r="721" s="10" customFormat="1" x14ac:dyDescent="0.2"/>
    <row r="722" s="10" customFormat="1" x14ac:dyDescent="0.2"/>
    <row r="723" s="10" customFormat="1" x14ac:dyDescent="0.2"/>
    <row r="724" s="10" customFormat="1" x14ac:dyDescent="0.2"/>
    <row r="725" s="10" customFormat="1" x14ac:dyDescent="0.2"/>
    <row r="726" s="10" customFormat="1" x14ac:dyDescent="0.2"/>
    <row r="727" s="10" customFormat="1" x14ac:dyDescent="0.2"/>
    <row r="728" s="10" customFormat="1" x14ac:dyDescent="0.2"/>
    <row r="729" s="10" customFormat="1" x14ac:dyDescent="0.2"/>
    <row r="730" s="10" customFormat="1" x14ac:dyDescent="0.2"/>
    <row r="731" s="10" customFormat="1" x14ac:dyDescent="0.2"/>
    <row r="732" s="10" customFormat="1" x14ac:dyDescent="0.2"/>
    <row r="733" s="10" customFormat="1" x14ac:dyDescent="0.2"/>
    <row r="734" s="10" customFormat="1" x14ac:dyDescent="0.2"/>
    <row r="735" s="10" customFormat="1" x14ac:dyDescent="0.2"/>
    <row r="736" s="10" customFormat="1" x14ac:dyDescent="0.2"/>
    <row r="737" s="10" customFormat="1" x14ac:dyDescent="0.2"/>
    <row r="738" s="10" customFormat="1" x14ac:dyDescent="0.2"/>
    <row r="739" s="10" customFormat="1" x14ac:dyDescent="0.2"/>
    <row r="740" s="10" customFormat="1" x14ac:dyDescent="0.2"/>
    <row r="741" s="10" customFormat="1" x14ac:dyDescent="0.2"/>
    <row r="742" s="10" customFormat="1" x14ac:dyDescent="0.2"/>
    <row r="743" s="10" customFormat="1" x14ac:dyDescent="0.2"/>
    <row r="744" s="10" customFormat="1" x14ac:dyDescent="0.2"/>
    <row r="745" s="10" customFormat="1" x14ac:dyDescent="0.2"/>
    <row r="746" s="10" customFormat="1" x14ac:dyDescent="0.2"/>
    <row r="747" s="10" customFormat="1" x14ac:dyDescent="0.2"/>
    <row r="748" s="10" customFormat="1" x14ac:dyDescent="0.2"/>
    <row r="749" s="10" customFormat="1" x14ac:dyDescent="0.2"/>
    <row r="750" s="10" customFormat="1" x14ac:dyDescent="0.2"/>
    <row r="751" s="10" customFormat="1" x14ac:dyDescent="0.2"/>
    <row r="752" s="10" customFormat="1" x14ac:dyDescent="0.2"/>
    <row r="753" s="10" customFormat="1" x14ac:dyDescent="0.2"/>
    <row r="754" s="10" customFormat="1" x14ac:dyDescent="0.2"/>
    <row r="755" s="10" customFormat="1" x14ac:dyDescent="0.2"/>
    <row r="756" s="10" customFormat="1" x14ac:dyDescent="0.2"/>
    <row r="757" s="10" customFormat="1" x14ac:dyDescent="0.2"/>
    <row r="758" s="10" customFormat="1" x14ac:dyDescent="0.2"/>
    <row r="759" s="10" customFormat="1" x14ac:dyDescent="0.2"/>
    <row r="760" s="10" customFormat="1" x14ac:dyDescent="0.2"/>
    <row r="761" s="10" customFormat="1" x14ac:dyDescent="0.2"/>
    <row r="762" s="10" customFormat="1" x14ac:dyDescent="0.2"/>
    <row r="763" s="10" customFormat="1" x14ac:dyDescent="0.2"/>
    <row r="764" s="10" customFormat="1" x14ac:dyDescent="0.2"/>
    <row r="765" s="10" customFormat="1" x14ac:dyDescent="0.2"/>
    <row r="766" s="10" customFormat="1" x14ac:dyDescent="0.2"/>
    <row r="767" s="10" customFormat="1" x14ac:dyDescent="0.2"/>
    <row r="768" s="10" customFormat="1" x14ac:dyDescent="0.2"/>
    <row r="769" s="10" customFormat="1" x14ac:dyDescent="0.2"/>
    <row r="770" s="10" customFormat="1" x14ac:dyDescent="0.2"/>
    <row r="771" s="10" customFormat="1" x14ac:dyDescent="0.2"/>
    <row r="772" s="10" customFormat="1" x14ac:dyDescent="0.2"/>
    <row r="773" s="10" customFormat="1" x14ac:dyDescent="0.2"/>
    <row r="774" s="10" customFormat="1" x14ac:dyDescent="0.2"/>
    <row r="775" s="10" customFormat="1" x14ac:dyDescent="0.2"/>
    <row r="776" s="10" customFormat="1" x14ac:dyDescent="0.2"/>
    <row r="777" s="10" customFormat="1" x14ac:dyDescent="0.2"/>
    <row r="778" s="10" customFormat="1" x14ac:dyDescent="0.2"/>
    <row r="779" s="10" customFormat="1" x14ac:dyDescent="0.2"/>
    <row r="780" s="10" customFormat="1" x14ac:dyDescent="0.2"/>
    <row r="781" s="10" customFormat="1" x14ac:dyDescent="0.2"/>
    <row r="782" s="10" customFormat="1" x14ac:dyDescent="0.2"/>
    <row r="783" s="10" customFormat="1" x14ac:dyDescent="0.2"/>
    <row r="784" s="10" customFormat="1" x14ac:dyDescent="0.2"/>
    <row r="785" s="10" customFormat="1" x14ac:dyDescent="0.2"/>
    <row r="786" s="10" customFormat="1" x14ac:dyDescent="0.2"/>
    <row r="787" s="10" customFormat="1" x14ac:dyDescent="0.2"/>
    <row r="788" s="10" customFormat="1" x14ac:dyDescent="0.2"/>
    <row r="789" s="10" customFormat="1" x14ac:dyDescent="0.2"/>
    <row r="790" s="10" customFormat="1" x14ac:dyDescent="0.2"/>
    <row r="791" s="10" customFormat="1" x14ac:dyDescent="0.2"/>
    <row r="792" s="10" customFormat="1" x14ac:dyDescent="0.2"/>
    <row r="793" s="10" customFormat="1" x14ac:dyDescent="0.2"/>
    <row r="794" s="10" customFormat="1" x14ac:dyDescent="0.2"/>
    <row r="795" s="10" customFormat="1" x14ac:dyDescent="0.2"/>
    <row r="796" s="10" customFormat="1" x14ac:dyDescent="0.2"/>
    <row r="797" s="10" customFormat="1" x14ac:dyDescent="0.2"/>
    <row r="798" s="10" customFormat="1" x14ac:dyDescent="0.2"/>
    <row r="799" s="10" customFormat="1" x14ac:dyDescent="0.2"/>
    <row r="800" s="10" customFormat="1" x14ac:dyDescent="0.2"/>
    <row r="801" s="10" customFormat="1" x14ac:dyDescent="0.2"/>
    <row r="802" s="10" customFormat="1" x14ac:dyDescent="0.2"/>
    <row r="803" s="10" customFormat="1" x14ac:dyDescent="0.2"/>
    <row r="804" s="10" customFormat="1" x14ac:dyDescent="0.2"/>
    <row r="805" s="10" customFormat="1" x14ac:dyDescent="0.2"/>
    <row r="806" s="10" customFormat="1" x14ac:dyDescent="0.2"/>
    <row r="807" s="10" customFormat="1" x14ac:dyDescent="0.2"/>
    <row r="808" s="10" customFormat="1" x14ac:dyDescent="0.2"/>
    <row r="809" s="10" customFormat="1" x14ac:dyDescent="0.2"/>
    <row r="810" s="10" customFormat="1" x14ac:dyDescent="0.2"/>
    <row r="811" s="10" customFormat="1" x14ac:dyDescent="0.2"/>
    <row r="812" s="10" customFormat="1" x14ac:dyDescent="0.2"/>
    <row r="813" s="10" customFormat="1" x14ac:dyDescent="0.2"/>
    <row r="814" s="10" customFormat="1" x14ac:dyDescent="0.2"/>
    <row r="815" s="10" customFormat="1" x14ac:dyDescent="0.2"/>
    <row r="816" s="10" customFormat="1" x14ac:dyDescent="0.2"/>
    <row r="817" s="10" customFormat="1" x14ac:dyDescent="0.2"/>
    <row r="818" s="10" customFormat="1" x14ac:dyDescent="0.2"/>
    <row r="819" s="10" customFormat="1" x14ac:dyDescent="0.2"/>
    <row r="820" s="10" customFormat="1" x14ac:dyDescent="0.2"/>
    <row r="821" s="10" customFormat="1" x14ac:dyDescent="0.2"/>
    <row r="822" s="10" customFormat="1" x14ac:dyDescent="0.2"/>
    <row r="823" s="10" customFormat="1" x14ac:dyDescent="0.2"/>
    <row r="824" s="10" customFormat="1" x14ac:dyDescent="0.2"/>
    <row r="825" s="10" customFormat="1" x14ac:dyDescent="0.2"/>
    <row r="826" s="10" customFormat="1" x14ac:dyDescent="0.2"/>
    <row r="827" s="10" customFormat="1" x14ac:dyDescent="0.2"/>
    <row r="828" s="10" customFormat="1" x14ac:dyDescent="0.2"/>
    <row r="829" s="10" customFormat="1" x14ac:dyDescent="0.2"/>
    <row r="830" s="10" customFormat="1" x14ac:dyDescent="0.2"/>
    <row r="831" s="10" customFormat="1" x14ac:dyDescent="0.2"/>
    <row r="832" s="10" customFormat="1" x14ac:dyDescent="0.2"/>
    <row r="833" s="10" customFormat="1" x14ac:dyDescent="0.2"/>
    <row r="834" s="10" customFormat="1" x14ac:dyDescent="0.2"/>
    <row r="835" s="10" customFormat="1" x14ac:dyDescent="0.2"/>
    <row r="836" s="10" customFormat="1" x14ac:dyDescent="0.2"/>
    <row r="837" s="10" customFormat="1" x14ac:dyDescent="0.2"/>
    <row r="838" s="10" customFormat="1" x14ac:dyDescent="0.2"/>
    <row r="839" s="10" customFormat="1" x14ac:dyDescent="0.2"/>
    <row r="840" s="10" customFormat="1" x14ac:dyDescent="0.2"/>
    <row r="841" s="10" customFormat="1" x14ac:dyDescent="0.2"/>
    <row r="842" s="10" customFormat="1" x14ac:dyDescent="0.2"/>
    <row r="843" s="10" customFormat="1" x14ac:dyDescent="0.2"/>
    <row r="844" s="10" customFormat="1" x14ac:dyDescent="0.2"/>
    <row r="845" s="10" customFormat="1" x14ac:dyDescent="0.2"/>
    <row r="846" s="10" customFormat="1" x14ac:dyDescent="0.2"/>
    <row r="847" s="10" customFormat="1" x14ac:dyDescent="0.2"/>
    <row r="848" s="10" customFormat="1" x14ac:dyDescent="0.2"/>
    <row r="849" s="10" customFormat="1" x14ac:dyDescent="0.2"/>
    <row r="850" s="10" customFormat="1" x14ac:dyDescent="0.2"/>
    <row r="851" s="10" customFormat="1" x14ac:dyDescent="0.2"/>
    <row r="852" s="10" customFormat="1" x14ac:dyDescent="0.2"/>
    <row r="853" s="10" customFormat="1" x14ac:dyDescent="0.2"/>
    <row r="854" s="10" customFormat="1" x14ac:dyDescent="0.2"/>
    <row r="855" s="10" customFormat="1" x14ac:dyDescent="0.2"/>
    <row r="856" s="10" customFormat="1" x14ac:dyDescent="0.2"/>
    <row r="857" s="10" customFormat="1" x14ac:dyDescent="0.2"/>
    <row r="858" s="10" customFormat="1" x14ac:dyDescent="0.2"/>
    <row r="859" s="10" customFormat="1" x14ac:dyDescent="0.2"/>
    <row r="860" s="10" customFormat="1" x14ac:dyDescent="0.2"/>
    <row r="861" s="10" customFormat="1" x14ac:dyDescent="0.2"/>
    <row r="862" s="10" customFormat="1" x14ac:dyDescent="0.2"/>
    <row r="863" s="10" customFormat="1" x14ac:dyDescent="0.2"/>
    <row r="864" s="10" customFormat="1" x14ac:dyDescent="0.2"/>
    <row r="865" s="10" customFormat="1" x14ac:dyDescent="0.2"/>
    <row r="866" s="10" customFormat="1" x14ac:dyDescent="0.2"/>
    <row r="867" s="10" customFormat="1" x14ac:dyDescent="0.2"/>
    <row r="868" s="10" customFormat="1" x14ac:dyDescent="0.2"/>
    <row r="869" s="10" customFormat="1" x14ac:dyDescent="0.2"/>
    <row r="870" s="10" customFormat="1" x14ac:dyDescent="0.2"/>
    <row r="871" s="10" customFormat="1" x14ac:dyDescent="0.2"/>
    <row r="872" s="10" customFormat="1" x14ac:dyDescent="0.2"/>
    <row r="873" s="10" customFormat="1" x14ac:dyDescent="0.2"/>
    <row r="874" s="10" customFormat="1" x14ac:dyDescent="0.2"/>
    <row r="875" s="10" customFormat="1" x14ac:dyDescent="0.2"/>
    <row r="876" s="10" customFormat="1" x14ac:dyDescent="0.2"/>
    <row r="877" s="10" customFormat="1" x14ac:dyDescent="0.2"/>
    <row r="878" s="10" customFormat="1" x14ac:dyDescent="0.2"/>
    <row r="879" s="10" customFormat="1" x14ac:dyDescent="0.2"/>
    <row r="880" s="10" customFormat="1" x14ac:dyDescent="0.2"/>
    <row r="881" s="10" customFormat="1" x14ac:dyDescent="0.2"/>
    <row r="882" s="10" customFormat="1" x14ac:dyDescent="0.2"/>
    <row r="883" s="10" customFormat="1" x14ac:dyDescent="0.2"/>
    <row r="884" s="10" customFormat="1" x14ac:dyDescent="0.2"/>
    <row r="885" s="10" customFormat="1" x14ac:dyDescent="0.2"/>
    <row r="886" s="10" customFormat="1" x14ac:dyDescent="0.2"/>
    <row r="887" s="10" customFormat="1" x14ac:dyDescent="0.2"/>
    <row r="888" s="10" customFormat="1" x14ac:dyDescent="0.2"/>
    <row r="889" s="10" customFormat="1" x14ac:dyDescent="0.2"/>
    <row r="890" s="10" customFormat="1" x14ac:dyDescent="0.2"/>
    <row r="891" s="10" customFormat="1" x14ac:dyDescent="0.2"/>
    <row r="892" s="10" customFormat="1" x14ac:dyDescent="0.2"/>
    <row r="893" s="10" customFormat="1" x14ac:dyDescent="0.2"/>
    <row r="894" s="10" customFormat="1" x14ac:dyDescent="0.2"/>
    <row r="895" s="10" customFormat="1" x14ac:dyDescent="0.2"/>
    <row r="896" s="10" customFormat="1" x14ac:dyDescent="0.2"/>
    <row r="897" s="10" customFormat="1" x14ac:dyDescent="0.2"/>
    <row r="898" s="10" customFormat="1" x14ac:dyDescent="0.2"/>
    <row r="899" s="10" customFormat="1" x14ac:dyDescent="0.2"/>
    <row r="900" s="10" customFormat="1" x14ac:dyDescent="0.2"/>
    <row r="901" s="10" customFormat="1" x14ac:dyDescent="0.2"/>
    <row r="902" s="10" customFormat="1" x14ac:dyDescent="0.2"/>
    <row r="903" s="10" customFormat="1" x14ac:dyDescent="0.2"/>
    <row r="904" s="10" customFormat="1" x14ac:dyDescent="0.2"/>
    <row r="905" s="10" customFormat="1" x14ac:dyDescent="0.2"/>
    <row r="906" s="10" customFormat="1" x14ac:dyDescent="0.2"/>
    <row r="907" s="10" customFormat="1" x14ac:dyDescent="0.2"/>
    <row r="908" s="10" customFormat="1" x14ac:dyDescent="0.2"/>
    <row r="909" s="10" customFormat="1" x14ac:dyDescent="0.2"/>
    <row r="910" s="10" customFormat="1" x14ac:dyDescent="0.2"/>
    <row r="911" s="10" customFormat="1" x14ac:dyDescent="0.2"/>
    <row r="912" s="10" customFormat="1" x14ac:dyDescent="0.2"/>
    <row r="913" s="10" customFormat="1" x14ac:dyDescent="0.2"/>
    <row r="914" s="10" customFormat="1" x14ac:dyDescent="0.2"/>
    <row r="915" s="10" customFormat="1" x14ac:dyDescent="0.2"/>
    <row r="916" s="10" customFormat="1" x14ac:dyDescent="0.2"/>
    <row r="917" s="10" customFormat="1" x14ac:dyDescent="0.2"/>
    <row r="918" s="10" customFormat="1" x14ac:dyDescent="0.2"/>
    <row r="919" s="10" customFormat="1" x14ac:dyDescent="0.2"/>
    <row r="920" s="10" customFormat="1" x14ac:dyDescent="0.2"/>
    <row r="921" s="10" customFormat="1" x14ac:dyDescent="0.2"/>
    <row r="922" s="10" customFormat="1" x14ac:dyDescent="0.2"/>
    <row r="923" s="10" customFormat="1" x14ac:dyDescent="0.2"/>
    <row r="924" s="10" customFormat="1" x14ac:dyDescent="0.2"/>
    <row r="925" s="10" customFormat="1" x14ac:dyDescent="0.2"/>
    <row r="926" s="10" customFormat="1" x14ac:dyDescent="0.2"/>
    <row r="927" s="10" customFormat="1" x14ac:dyDescent="0.2"/>
    <row r="928" s="10" customFormat="1" x14ac:dyDescent="0.2"/>
    <row r="929" s="10" customFormat="1" x14ac:dyDescent="0.2"/>
    <row r="930" s="10" customFormat="1" x14ac:dyDescent="0.2"/>
    <row r="931" s="10" customFormat="1" x14ac:dyDescent="0.2"/>
    <row r="932" s="10" customFormat="1" x14ac:dyDescent="0.2"/>
    <row r="933" s="10" customFormat="1" x14ac:dyDescent="0.2"/>
    <row r="934" s="10" customFormat="1" x14ac:dyDescent="0.2"/>
    <row r="935" s="10" customFormat="1" x14ac:dyDescent="0.2"/>
    <row r="936" s="10" customFormat="1" x14ac:dyDescent="0.2"/>
    <row r="937" s="10" customFormat="1" x14ac:dyDescent="0.2"/>
    <row r="938" s="10" customFormat="1" x14ac:dyDescent="0.2"/>
    <row r="939" s="10" customFormat="1" x14ac:dyDescent="0.2"/>
    <row r="940" s="10" customFormat="1" x14ac:dyDescent="0.2"/>
    <row r="941" s="10" customFormat="1" x14ac:dyDescent="0.2"/>
    <row r="942" s="10" customFormat="1" x14ac:dyDescent="0.2"/>
    <row r="943" s="10" customFormat="1" x14ac:dyDescent="0.2"/>
    <row r="944" s="10" customFormat="1" x14ac:dyDescent="0.2"/>
    <row r="945" s="10" customFormat="1" x14ac:dyDescent="0.2"/>
    <row r="946" s="10" customFormat="1" x14ac:dyDescent="0.2"/>
    <row r="947" s="10" customFormat="1" x14ac:dyDescent="0.2"/>
    <row r="948" s="10" customFormat="1" x14ac:dyDescent="0.2"/>
    <row r="949" s="10" customFormat="1" x14ac:dyDescent="0.2"/>
    <row r="950" s="10" customFormat="1" x14ac:dyDescent="0.2"/>
    <row r="951" s="10" customFormat="1" x14ac:dyDescent="0.2"/>
    <row r="952" s="10" customFormat="1" x14ac:dyDescent="0.2"/>
    <row r="953" s="10" customFormat="1" x14ac:dyDescent="0.2"/>
    <row r="954" s="10" customFormat="1" x14ac:dyDescent="0.2"/>
    <row r="955" s="10" customFormat="1" x14ac:dyDescent="0.2"/>
    <row r="956" s="10" customFormat="1" x14ac:dyDescent="0.2"/>
    <row r="957" s="10" customFormat="1" x14ac:dyDescent="0.2"/>
    <row r="958" s="10" customFormat="1" x14ac:dyDescent="0.2"/>
    <row r="959" s="10" customFormat="1" x14ac:dyDescent="0.2"/>
    <row r="960" s="10" customFormat="1" x14ac:dyDescent="0.2"/>
    <row r="961" s="10" customFormat="1" x14ac:dyDescent="0.2"/>
    <row r="962" s="10" customFormat="1" x14ac:dyDescent="0.2"/>
    <row r="963" s="10" customFormat="1" x14ac:dyDescent="0.2"/>
    <row r="964" s="10" customFormat="1" x14ac:dyDescent="0.2"/>
    <row r="965" s="10" customFormat="1" x14ac:dyDescent="0.2"/>
    <row r="966" s="10" customFormat="1" x14ac:dyDescent="0.2"/>
    <row r="967" s="10" customFormat="1" x14ac:dyDescent="0.2"/>
    <row r="968" s="10" customFormat="1" x14ac:dyDescent="0.2"/>
    <row r="969" s="10" customFormat="1" x14ac:dyDescent="0.2"/>
    <row r="970" s="10" customFormat="1" x14ac:dyDescent="0.2"/>
    <row r="971" s="10" customFormat="1" x14ac:dyDescent="0.2"/>
    <row r="972" s="10" customFormat="1" x14ac:dyDescent="0.2"/>
    <row r="973" s="10" customFormat="1" x14ac:dyDescent="0.2"/>
    <row r="974" s="10" customFormat="1" x14ac:dyDescent="0.2"/>
    <row r="975" s="10" customFormat="1" x14ac:dyDescent="0.2"/>
    <row r="976" s="10" customFormat="1" x14ac:dyDescent="0.2"/>
    <row r="977" s="10" customFormat="1" x14ac:dyDescent="0.2"/>
    <row r="978" s="10" customFormat="1" x14ac:dyDescent="0.2"/>
    <row r="979" s="10" customFormat="1" x14ac:dyDescent="0.2"/>
    <row r="980" s="10" customFormat="1" x14ac:dyDescent="0.2"/>
    <row r="981" s="10" customFormat="1" x14ac:dyDescent="0.2"/>
    <row r="982" s="10" customFormat="1" x14ac:dyDescent="0.2"/>
    <row r="983" s="10" customFormat="1" x14ac:dyDescent="0.2"/>
    <row r="984" s="10" customFormat="1" x14ac:dyDescent="0.2"/>
    <row r="985" s="10" customFormat="1" x14ac:dyDescent="0.2"/>
    <row r="986" s="10" customFormat="1" x14ac:dyDescent="0.2"/>
    <row r="987" s="10" customFormat="1" x14ac:dyDescent="0.2"/>
    <row r="988" s="10" customFormat="1" x14ac:dyDescent="0.2"/>
    <row r="989" s="10" customFormat="1" x14ac:dyDescent="0.2"/>
    <row r="990" s="10" customFormat="1" x14ac:dyDescent="0.2"/>
    <row r="991" s="10" customFormat="1" x14ac:dyDescent="0.2"/>
    <row r="992" s="10" customFormat="1" x14ac:dyDescent="0.2"/>
    <row r="993" s="10" customFormat="1" x14ac:dyDescent="0.2"/>
    <row r="994" s="10" customFormat="1" x14ac:dyDescent="0.2"/>
    <row r="995" s="10" customFormat="1" x14ac:dyDescent="0.2"/>
    <row r="996" s="10" customFormat="1" x14ac:dyDescent="0.2"/>
    <row r="997" s="10" customFormat="1" x14ac:dyDescent="0.2"/>
    <row r="998" s="10" customFormat="1" x14ac:dyDescent="0.2"/>
    <row r="999" s="10" customFormat="1" x14ac:dyDescent="0.2"/>
    <row r="1000" s="10" customFormat="1" x14ac:dyDescent="0.2"/>
    <row r="1001" s="10" customFormat="1" x14ac:dyDescent="0.2"/>
    <row r="1002" s="10" customFormat="1" x14ac:dyDescent="0.2"/>
    <row r="1003" s="10" customFormat="1" x14ac:dyDescent="0.2"/>
    <row r="1004" s="10" customFormat="1" x14ac:dyDescent="0.2"/>
    <row r="1005" s="10" customFormat="1" x14ac:dyDescent="0.2"/>
    <row r="1006" s="10" customFormat="1" x14ac:dyDescent="0.2"/>
    <row r="1007" s="10" customFormat="1" x14ac:dyDescent="0.2"/>
    <row r="1008" s="10" customFormat="1" x14ac:dyDescent="0.2"/>
    <row r="1009" s="10" customFormat="1" x14ac:dyDescent="0.2"/>
    <row r="1010" s="10" customFormat="1" x14ac:dyDescent="0.2"/>
    <row r="1011" s="10" customFormat="1" x14ac:dyDescent="0.2"/>
    <row r="1012" s="10" customFormat="1" x14ac:dyDescent="0.2"/>
    <row r="1013" s="10" customFormat="1" x14ac:dyDescent="0.2"/>
    <row r="1014" s="10" customFormat="1" x14ac:dyDescent="0.2"/>
    <row r="1015" s="10" customFormat="1" x14ac:dyDescent="0.2"/>
    <row r="1016" s="10" customFormat="1" x14ac:dyDescent="0.2"/>
    <row r="1017" s="10" customFormat="1" x14ac:dyDescent="0.2"/>
    <row r="1018" s="10" customFormat="1" x14ac:dyDescent="0.2"/>
    <row r="1019" s="10" customFormat="1" x14ac:dyDescent="0.2"/>
    <row r="1020" s="10" customFormat="1" x14ac:dyDescent="0.2"/>
    <row r="1021" s="10" customFormat="1" x14ac:dyDescent="0.2"/>
    <row r="1022" s="10" customFormat="1" x14ac:dyDescent="0.2"/>
    <row r="1023" s="10" customFormat="1" x14ac:dyDescent="0.2"/>
    <row r="1024" s="10" customFormat="1" x14ac:dyDescent="0.2"/>
    <row r="1025" s="10" customFormat="1" x14ac:dyDescent="0.2"/>
    <row r="1026" s="10" customFormat="1" x14ac:dyDescent="0.2"/>
    <row r="1027" s="10" customFormat="1" x14ac:dyDescent="0.2"/>
    <row r="1028" s="10" customFormat="1" x14ac:dyDescent="0.2"/>
    <row r="1029" s="10" customFormat="1" x14ac:dyDescent="0.2"/>
    <row r="1030" s="10" customFormat="1" x14ac:dyDescent="0.2"/>
    <row r="1031" s="10" customFormat="1" x14ac:dyDescent="0.2"/>
    <row r="1032" s="10" customFormat="1" x14ac:dyDescent="0.2"/>
    <row r="1033" s="10" customFormat="1" x14ac:dyDescent="0.2"/>
    <row r="1034" s="10" customFormat="1" x14ac:dyDescent="0.2"/>
    <row r="1035" s="10" customFormat="1" x14ac:dyDescent="0.2"/>
    <row r="1036" s="10" customFormat="1" x14ac:dyDescent="0.2"/>
    <row r="1037" s="10" customFormat="1" x14ac:dyDescent="0.2"/>
    <row r="1038" s="10" customFormat="1" x14ac:dyDescent="0.2"/>
    <row r="1039" s="10" customFormat="1" x14ac:dyDescent="0.2"/>
    <row r="1040" s="10" customFormat="1" x14ac:dyDescent="0.2"/>
    <row r="1041" s="10" customFormat="1" x14ac:dyDescent="0.2"/>
    <row r="1042" s="10" customFormat="1" x14ac:dyDescent="0.2"/>
    <row r="1043" s="10" customFormat="1" x14ac:dyDescent="0.2"/>
    <row r="1044" s="10" customFormat="1" x14ac:dyDescent="0.2"/>
    <row r="1045" s="10" customFormat="1" x14ac:dyDescent="0.2"/>
    <row r="1046" s="10" customFormat="1" x14ac:dyDescent="0.2"/>
    <row r="1047" s="10" customFormat="1" x14ac:dyDescent="0.2"/>
    <row r="1048" s="10" customFormat="1" x14ac:dyDescent="0.2"/>
    <row r="1049" s="10" customFormat="1" x14ac:dyDescent="0.2"/>
    <row r="1050" s="10" customFormat="1" x14ac:dyDescent="0.2"/>
    <row r="1051" s="10" customFormat="1" x14ac:dyDescent="0.2"/>
    <row r="1052" s="10" customFormat="1" x14ac:dyDescent="0.2"/>
    <row r="1053" s="10" customFormat="1" x14ac:dyDescent="0.2"/>
    <row r="1054" s="10" customFormat="1" x14ac:dyDescent="0.2"/>
    <row r="1055" s="10" customFormat="1" x14ac:dyDescent="0.2"/>
    <row r="1056" s="10" customFormat="1" x14ac:dyDescent="0.2"/>
    <row r="1057" s="10" customFormat="1" x14ac:dyDescent="0.2"/>
    <row r="1058" s="10" customFormat="1" x14ac:dyDescent="0.2"/>
    <row r="1059" s="10" customFormat="1" x14ac:dyDescent="0.2"/>
    <row r="1060" s="10" customFormat="1" x14ac:dyDescent="0.2"/>
    <row r="1061" s="10" customFormat="1" x14ac:dyDescent="0.2"/>
    <row r="1062" s="10" customFormat="1" x14ac:dyDescent="0.2"/>
    <row r="1063" s="10" customFormat="1" x14ac:dyDescent="0.2"/>
    <row r="1064" s="10" customFormat="1" x14ac:dyDescent="0.2"/>
    <row r="1065" s="10" customFormat="1" x14ac:dyDescent="0.2"/>
    <row r="1066" s="10" customFormat="1" x14ac:dyDescent="0.2"/>
    <row r="1067" s="10" customFormat="1" x14ac:dyDescent="0.2"/>
    <row r="1068" s="10" customFormat="1" x14ac:dyDescent="0.2"/>
    <row r="1069" s="10" customFormat="1" x14ac:dyDescent="0.2"/>
    <row r="1070" s="10" customFormat="1" x14ac:dyDescent="0.2"/>
    <row r="1071" s="10" customFormat="1" x14ac:dyDescent="0.2"/>
    <row r="1072" s="10" customFormat="1" x14ac:dyDescent="0.2"/>
    <row r="1073" s="10" customFormat="1" x14ac:dyDescent="0.2"/>
    <row r="1074" s="10" customFormat="1" x14ac:dyDescent="0.2"/>
    <row r="1075" s="10" customFormat="1" x14ac:dyDescent="0.2"/>
    <row r="1076" s="10" customFormat="1" x14ac:dyDescent="0.2"/>
    <row r="1077" s="10" customFormat="1" x14ac:dyDescent="0.2"/>
    <row r="1078" s="10" customFormat="1" x14ac:dyDescent="0.2"/>
    <row r="1079" s="10" customFormat="1" x14ac:dyDescent="0.2"/>
    <row r="1080" s="10" customFormat="1" x14ac:dyDescent="0.2"/>
    <row r="1081" s="10" customFormat="1" x14ac:dyDescent="0.2"/>
    <row r="1082" s="10" customFormat="1" x14ac:dyDescent="0.2"/>
    <row r="1083" s="10" customFormat="1" x14ac:dyDescent="0.2"/>
    <row r="1084" s="10" customFormat="1" x14ac:dyDescent="0.2"/>
    <row r="1085" s="10" customFormat="1" x14ac:dyDescent="0.2"/>
    <row r="1086" s="10" customFormat="1" x14ac:dyDescent="0.2"/>
    <row r="1087" s="10" customFormat="1" x14ac:dyDescent="0.2"/>
    <row r="1088" s="10" customFormat="1" x14ac:dyDescent="0.2"/>
    <row r="1089" s="10" customFormat="1" x14ac:dyDescent="0.2"/>
    <row r="1090" s="10" customFormat="1" x14ac:dyDescent="0.2"/>
    <row r="1091" s="10" customFormat="1" x14ac:dyDescent="0.2"/>
    <row r="1092" s="10" customFormat="1" x14ac:dyDescent="0.2"/>
    <row r="1093" s="10" customFormat="1" x14ac:dyDescent="0.2"/>
    <row r="1094" s="10" customFormat="1" x14ac:dyDescent="0.2"/>
    <row r="1095" s="10" customFormat="1" x14ac:dyDescent="0.2"/>
    <row r="1096" s="10" customFormat="1" x14ac:dyDescent="0.2"/>
    <row r="1097" s="10" customFormat="1" x14ac:dyDescent="0.2"/>
    <row r="1098" s="10" customFormat="1" x14ac:dyDescent="0.2"/>
    <row r="1099" s="10" customFormat="1" x14ac:dyDescent="0.2"/>
    <row r="1100" s="10" customFormat="1" x14ac:dyDescent="0.2"/>
    <row r="1101" s="10" customFormat="1" x14ac:dyDescent="0.2"/>
    <row r="1102" s="10" customFormat="1" x14ac:dyDescent="0.2"/>
    <row r="1103" s="10" customFormat="1" x14ac:dyDescent="0.2"/>
    <row r="1104" s="10" customFormat="1" x14ac:dyDescent="0.2"/>
    <row r="1105" s="10" customFormat="1" x14ac:dyDescent="0.2"/>
    <row r="1106" s="10" customFormat="1" x14ac:dyDescent="0.2"/>
    <row r="1107" s="10" customFormat="1" x14ac:dyDescent="0.2"/>
    <row r="1108" s="10" customFormat="1" x14ac:dyDescent="0.2"/>
    <row r="1109" s="10" customFormat="1" x14ac:dyDescent="0.2"/>
    <row r="1110" s="10" customFormat="1" x14ac:dyDescent="0.2"/>
    <row r="1111" s="10" customFormat="1" x14ac:dyDescent="0.2"/>
    <row r="1112" s="10" customFormat="1" x14ac:dyDescent="0.2"/>
    <row r="1113" s="10" customFormat="1" x14ac:dyDescent="0.2"/>
    <row r="1114" s="10" customFormat="1" x14ac:dyDescent="0.2"/>
    <row r="1115" s="10" customFormat="1" x14ac:dyDescent="0.2"/>
    <row r="1116" s="10" customFormat="1" x14ac:dyDescent="0.2"/>
    <row r="1117" s="10" customFormat="1" x14ac:dyDescent="0.2"/>
    <row r="1118" s="10" customFormat="1" x14ac:dyDescent="0.2"/>
    <row r="1119" s="10" customFormat="1" x14ac:dyDescent="0.2"/>
    <row r="1120" s="10" customFormat="1" x14ac:dyDescent="0.2"/>
    <row r="1121" s="10" customFormat="1" x14ac:dyDescent="0.2"/>
    <row r="1122" s="10" customFormat="1" x14ac:dyDescent="0.2"/>
    <row r="1123" s="10" customFormat="1" x14ac:dyDescent="0.2"/>
    <row r="1124" s="10" customFormat="1" x14ac:dyDescent="0.2"/>
    <row r="1125" s="10" customFormat="1" x14ac:dyDescent="0.2"/>
    <row r="1126" s="10" customFormat="1" x14ac:dyDescent="0.2"/>
    <row r="1127" s="10" customFormat="1" x14ac:dyDescent="0.2"/>
    <row r="1128" s="10" customFormat="1" x14ac:dyDescent="0.2"/>
    <row r="1129" s="10" customFormat="1" x14ac:dyDescent="0.2"/>
    <row r="1130" s="10" customFormat="1" x14ac:dyDescent="0.2"/>
    <row r="1131" s="10" customFormat="1" x14ac:dyDescent="0.2"/>
    <row r="1132" s="10" customFormat="1" x14ac:dyDescent="0.2"/>
    <row r="1133" s="10" customFormat="1" x14ac:dyDescent="0.2"/>
    <row r="1134" s="10" customFormat="1" x14ac:dyDescent="0.2"/>
    <row r="1135" s="10" customFormat="1" x14ac:dyDescent="0.2"/>
    <row r="1136" s="10" customFormat="1" x14ac:dyDescent="0.2"/>
    <row r="1137" s="10" customFormat="1" x14ac:dyDescent="0.2"/>
    <row r="1138" s="10" customFormat="1" x14ac:dyDescent="0.2"/>
    <row r="1139" s="10" customFormat="1" x14ac:dyDescent="0.2"/>
    <row r="1140" s="10" customFormat="1" x14ac:dyDescent="0.2"/>
    <row r="1141" s="10" customFormat="1" x14ac:dyDescent="0.2"/>
    <row r="1142" s="10" customFormat="1" x14ac:dyDescent="0.2"/>
    <row r="1143" s="10" customFormat="1" x14ac:dyDescent="0.2"/>
    <row r="1144" s="10" customFormat="1" x14ac:dyDescent="0.2"/>
    <row r="1145" s="10" customFormat="1" x14ac:dyDescent="0.2"/>
    <row r="1146" s="10" customFormat="1" x14ac:dyDescent="0.2"/>
    <row r="1147" s="10" customFormat="1" x14ac:dyDescent="0.2"/>
    <row r="1148" s="10" customFormat="1" x14ac:dyDescent="0.2"/>
    <row r="1149" s="10" customFormat="1" x14ac:dyDescent="0.2"/>
    <row r="1150" s="10" customFormat="1" x14ac:dyDescent="0.2"/>
    <row r="1151" s="10" customFormat="1" x14ac:dyDescent="0.2"/>
    <row r="1152" s="10" customFormat="1" x14ac:dyDescent="0.2"/>
    <row r="1153" s="10" customFormat="1" x14ac:dyDescent="0.2"/>
    <row r="1154" s="10" customFormat="1" x14ac:dyDescent="0.2"/>
    <row r="1155" s="10" customFormat="1" x14ac:dyDescent="0.2"/>
    <row r="1156" s="10" customFormat="1" x14ac:dyDescent="0.2"/>
    <row r="1157" s="10" customFormat="1" x14ac:dyDescent="0.2"/>
    <row r="1158" s="10" customFormat="1" x14ac:dyDescent="0.2"/>
    <row r="1159" s="10" customFormat="1" x14ac:dyDescent="0.2"/>
    <row r="1160" s="10" customFormat="1" x14ac:dyDescent="0.2"/>
    <row r="1161" s="10" customFormat="1" x14ac:dyDescent="0.2"/>
    <row r="1162" s="10" customFormat="1" x14ac:dyDescent="0.2"/>
    <row r="1163" s="10" customFormat="1" x14ac:dyDescent="0.2"/>
    <row r="1164" s="10" customFormat="1" x14ac:dyDescent="0.2"/>
    <row r="1165" s="10" customFormat="1" x14ac:dyDescent="0.2"/>
    <row r="1166" s="10" customFormat="1" x14ac:dyDescent="0.2"/>
    <row r="1167" s="10" customFormat="1" x14ac:dyDescent="0.2"/>
    <row r="1168" s="10" customFormat="1" x14ac:dyDescent="0.2"/>
    <row r="1169" s="10" customFormat="1" x14ac:dyDescent="0.2"/>
    <row r="1170" s="10" customFormat="1" x14ac:dyDescent="0.2"/>
    <row r="1171" s="10" customFormat="1" x14ac:dyDescent="0.2"/>
    <row r="1172" s="10" customFormat="1" x14ac:dyDescent="0.2"/>
    <row r="1173" s="10" customFormat="1" x14ac:dyDescent="0.2"/>
    <row r="1174" s="10" customFormat="1" x14ac:dyDescent="0.2"/>
    <row r="1175" s="10" customFormat="1" x14ac:dyDescent="0.2"/>
    <row r="1176" s="10" customFormat="1" x14ac:dyDescent="0.2"/>
    <row r="1177" s="10" customFormat="1" x14ac:dyDescent="0.2"/>
    <row r="1178" s="10" customFormat="1" x14ac:dyDescent="0.2"/>
    <row r="1179" s="10" customFormat="1" x14ac:dyDescent="0.2"/>
    <row r="1180" s="10" customFormat="1" x14ac:dyDescent="0.2"/>
    <row r="1181" s="10" customFormat="1" x14ac:dyDescent="0.2"/>
    <row r="1182" s="10" customFormat="1" x14ac:dyDescent="0.2"/>
    <row r="1183" s="10" customFormat="1" x14ac:dyDescent="0.2"/>
    <row r="1184" s="10" customFormat="1" x14ac:dyDescent="0.2"/>
    <row r="1185" s="10" customFormat="1" x14ac:dyDescent="0.2"/>
    <row r="1186" s="10" customFormat="1" x14ac:dyDescent="0.2"/>
    <row r="1187" s="10" customFormat="1" x14ac:dyDescent="0.2"/>
    <row r="1188" s="10" customFormat="1" x14ac:dyDescent="0.2"/>
    <row r="1189" s="10" customFormat="1" x14ac:dyDescent="0.2"/>
    <row r="1190" s="10" customFormat="1" x14ac:dyDescent="0.2"/>
    <row r="1191" s="10" customFormat="1" x14ac:dyDescent="0.2"/>
    <row r="1192" s="10" customFormat="1" x14ac:dyDescent="0.2"/>
    <row r="1193" s="10" customFormat="1" x14ac:dyDescent="0.2"/>
    <row r="1194" s="10" customFormat="1" x14ac:dyDescent="0.2"/>
    <row r="1195" s="10" customFormat="1" x14ac:dyDescent="0.2"/>
    <row r="1196" s="10" customFormat="1" x14ac:dyDescent="0.2"/>
    <row r="1197" s="10" customFormat="1" x14ac:dyDescent="0.2"/>
    <row r="1198" s="10" customFormat="1" x14ac:dyDescent="0.2"/>
    <row r="1199" s="10" customFormat="1" x14ac:dyDescent="0.2"/>
    <row r="1200" s="10" customFormat="1" x14ac:dyDescent="0.2"/>
    <row r="1201" s="10" customFormat="1" x14ac:dyDescent="0.2"/>
    <row r="1202" s="10" customFormat="1" x14ac:dyDescent="0.2"/>
    <row r="1203" s="10" customFormat="1" x14ac:dyDescent="0.2"/>
    <row r="1204" s="10" customFormat="1" x14ac:dyDescent="0.2"/>
    <row r="1205" s="10" customFormat="1" x14ac:dyDescent="0.2"/>
    <row r="1206" s="10" customFormat="1" x14ac:dyDescent="0.2"/>
    <row r="1207" s="10" customFormat="1" x14ac:dyDescent="0.2"/>
    <row r="1208" s="10" customFormat="1" x14ac:dyDescent="0.2"/>
    <row r="1209" s="10" customFormat="1" x14ac:dyDescent="0.2"/>
    <row r="1210" s="10" customFormat="1" x14ac:dyDescent="0.2"/>
    <row r="1211" s="10" customFormat="1" x14ac:dyDescent="0.2"/>
    <row r="1212" s="10" customFormat="1" x14ac:dyDescent="0.2"/>
    <row r="1213" s="10" customFormat="1" x14ac:dyDescent="0.2"/>
    <row r="1214" s="10" customFormat="1" x14ac:dyDescent="0.2"/>
    <row r="1215" s="10" customFormat="1" x14ac:dyDescent="0.2"/>
    <row r="1216" s="10" customFormat="1" x14ac:dyDescent="0.2"/>
    <row r="1217" s="10" customFormat="1" x14ac:dyDescent="0.2"/>
    <row r="1218" s="10" customFormat="1" x14ac:dyDescent="0.2"/>
    <row r="1219" s="10" customFormat="1" x14ac:dyDescent="0.2"/>
    <row r="1220" s="10" customFormat="1" x14ac:dyDescent="0.2"/>
    <row r="1221" s="10" customFormat="1" x14ac:dyDescent="0.2"/>
    <row r="1222" s="10" customFormat="1" x14ac:dyDescent="0.2"/>
    <row r="1223" s="10" customFormat="1" x14ac:dyDescent="0.2"/>
    <row r="1224" s="10" customFormat="1" x14ac:dyDescent="0.2"/>
    <row r="1225" s="10" customFormat="1" x14ac:dyDescent="0.2"/>
    <row r="1226" s="10" customFormat="1" x14ac:dyDescent="0.2"/>
    <row r="1227" s="10" customFormat="1" x14ac:dyDescent="0.2"/>
    <row r="1228" s="10" customFormat="1" x14ac:dyDescent="0.2"/>
    <row r="1229" s="10" customFormat="1" x14ac:dyDescent="0.2"/>
    <row r="1230" s="10" customFormat="1" x14ac:dyDescent="0.2"/>
    <row r="1231" s="10" customFormat="1" x14ac:dyDescent="0.2"/>
    <row r="1232" s="10" customFormat="1" x14ac:dyDescent="0.2"/>
    <row r="1233" s="10" customFormat="1" x14ac:dyDescent="0.2"/>
    <row r="1234" s="10" customFormat="1" x14ac:dyDescent="0.2"/>
    <row r="1235" s="10" customFormat="1" x14ac:dyDescent="0.2"/>
    <row r="1236" s="10" customFormat="1" x14ac:dyDescent="0.2"/>
    <row r="1237" s="10" customFormat="1" x14ac:dyDescent="0.2"/>
    <row r="1238" s="10" customFormat="1" x14ac:dyDescent="0.2"/>
    <row r="1239" s="10" customFormat="1" x14ac:dyDescent="0.2"/>
    <row r="1240" s="10" customFormat="1" x14ac:dyDescent="0.2"/>
    <row r="1241" s="10" customFormat="1" x14ac:dyDescent="0.2"/>
    <row r="1242" s="10" customFormat="1" x14ac:dyDescent="0.2"/>
    <row r="1243" s="10" customFormat="1" x14ac:dyDescent="0.2"/>
    <row r="1244" s="10" customFormat="1" x14ac:dyDescent="0.2"/>
    <row r="1245" s="10" customFormat="1" x14ac:dyDescent="0.2"/>
    <row r="1246" s="10" customFormat="1" x14ac:dyDescent="0.2"/>
    <row r="1247" s="10" customFormat="1" x14ac:dyDescent="0.2"/>
    <row r="1248" s="10" customFormat="1" x14ac:dyDescent="0.2"/>
    <row r="1249" s="10" customFormat="1" x14ac:dyDescent="0.2"/>
    <row r="1250" s="10" customFormat="1" x14ac:dyDescent="0.2"/>
    <row r="1251" s="10" customFormat="1" x14ac:dyDescent="0.2"/>
    <row r="1252" s="10" customFormat="1" x14ac:dyDescent="0.2"/>
    <row r="1253" s="10" customFormat="1" x14ac:dyDescent="0.2"/>
    <row r="1254" s="10" customFormat="1" x14ac:dyDescent="0.2"/>
    <row r="1255" s="10" customFormat="1" x14ac:dyDescent="0.2"/>
    <row r="1256" s="10" customFormat="1" x14ac:dyDescent="0.2"/>
    <row r="1257" s="10" customFormat="1" x14ac:dyDescent="0.2"/>
    <row r="1258" s="10" customFormat="1" x14ac:dyDescent="0.2"/>
    <row r="1259" s="10" customFormat="1" x14ac:dyDescent="0.2"/>
    <row r="1260" s="10" customFormat="1" x14ac:dyDescent="0.2"/>
    <row r="1261" s="10" customFormat="1" x14ac:dyDescent="0.2"/>
    <row r="1262" s="10" customFormat="1" x14ac:dyDescent="0.2"/>
    <row r="1263" s="10" customFormat="1" x14ac:dyDescent="0.2"/>
    <row r="1264" s="10" customFormat="1" x14ac:dyDescent="0.2"/>
    <row r="1265" s="10" customFormat="1" x14ac:dyDescent="0.2"/>
    <row r="1266" s="10" customFormat="1" x14ac:dyDescent="0.2"/>
    <row r="1267" s="10" customFormat="1" x14ac:dyDescent="0.2"/>
    <row r="1268" s="10" customFormat="1" x14ac:dyDescent="0.2"/>
    <row r="1269" s="10" customFormat="1" x14ac:dyDescent="0.2"/>
    <row r="1270" s="10" customFormat="1" x14ac:dyDescent="0.2"/>
    <row r="1271" s="10" customFormat="1" x14ac:dyDescent="0.2"/>
    <row r="1272" s="10" customFormat="1" x14ac:dyDescent="0.2"/>
    <row r="1273" s="10" customFormat="1" x14ac:dyDescent="0.2"/>
    <row r="1274" s="10" customFormat="1" x14ac:dyDescent="0.2"/>
    <row r="1275" s="10" customFormat="1" x14ac:dyDescent="0.2"/>
    <row r="1276" s="10" customFormat="1" x14ac:dyDescent="0.2"/>
    <row r="1277" s="10" customFormat="1" x14ac:dyDescent="0.2"/>
    <row r="1278" s="10" customFormat="1" x14ac:dyDescent="0.2"/>
    <row r="1279" s="10" customFormat="1" x14ac:dyDescent="0.2"/>
    <row r="1280" s="10" customFormat="1" x14ac:dyDescent="0.2"/>
    <row r="1281" s="10" customFormat="1" x14ac:dyDescent="0.2"/>
    <row r="1282" s="10" customFormat="1" x14ac:dyDescent="0.2"/>
    <row r="1283" s="10" customFormat="1" x14ac:dyDescent="0.2"/>
    <row r="1284" s="10" customFormat="1" x14ac:dyDescent="0.2"/>
    <row r="1285" s="10" customFormat="1" x14ac:dyDescent="0.2"/>
    <row r="1286" s="10" customFormat="1" x14ac:dyDescent="0.2"/>
    <row r="1287" s="10" customFormat="1" x14ac:dyDescent="0.2"/>
    <row r="1288" s="10" customFormat="1" x14ac:dyDescent="0.2"/>
  </sheetData>
  <mergeCells count="3">
    <mergeCell ref="B33:J33"/>
    <mergeCell ref="B1:I1"/>
    <mergeCell ref="B2:E2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B6CA8"/>
  </sheetPr>
  <dimension ref="A1:FX737"/>
  <sheetViews>
    <sheetView zoomScaleNormal="100" workbookViewId="0">
      <pane xSplit="2" ySplit="3" topLeftCell="I4" activePane="bottomRight" state="frozen"/>
      <selection activeCell="B47" sqref="B47:G47"/>
      <selection pane="topRight" activeCell="B47" sqref="B47:G47"/>
      <selection pane="bottomLeft" activeCell="B47" sqref="B47:G47"/>
      <selection pane="bottomRight" activeCell="T12" sqref="T12"/>
    </sheetView>
  </sheetViews>
  <sheetFormatPr baseColWidth="10" defaultColWidth="8.6640625" defaultRowHeight="14" x14ac:dyDescent="0.2"/>
  <cols>
    <col min="1" max="1" width="6.5" style="10" customWidth="1"/>
    <col min="2" max="2" width="9.33203125" style="12" customWidth="1"/>
    <col min="3" max="3" width="15.1640625" style="12" bestFit="1" customWidth="1"/>
    <col min="4" max="4" width="14" style="12" customWidth="1"/>
    <col min="5" max="5" width="10.83203125" style="12" customWidth="1"/>
    <col min="6" max="6" width="16.5" style="12" customWidth="1"/>
    <col min="7" max="7" width="14" style="12" customWidth="1"/>
    <col min="8" max="8" width="11.33203125" style="12" customWidth="1"/>
    <col min="9" max="9" width="16.6640625" style="12" customWidth="1"/>
    <col min="10" max="10" width="13.1640625" style="12" customWidth="1"/>
    <col min="11" max="11" width="13.6640625" style="12" bestFit="1" customWidth="1"/>
    <col min="12" max="12" width="13.1640625" style="12" customWidth="1"/>
    <col min="13" max="13" width="14.1640625" style="12" bestFit="1" customWidth="1"/>
    <col min="14" max="15" width="12" style="12" customWidth="1"/>
    <col min="16" max="16" width="14.33203125" style="12" bestFit="1" customWidth="1"/>
    <col min="17" max="17" width="7.5" style="12" bestFit="1" customWidth="1"/>
    <col min="18" max="18" width="8" style="12" bestFit="1" customWidth="1"/>
    <col min="19" max="19" width="9.33203125" style="12" bestFit="1" customWidth="1"/>
    <col min="20" max="20" width="11.1640625" style="12" customWidth="1"/>
    <col min="21" max="21" width="12.1640625" style="12" customWidth="1"/>
    <col min="22" max="22" width="14.6640625" style="12" customWidth="1"/>
    <col min="23" max="23" width="14" style="12" customWidth="1"/>
    <col min="24" max="24" width="12" style="12" customWidth="1"/>
    <col min="25" max="180" width="8.6640625" style="10"/>
    <col min="181" max="16384" width="8.6640625" style="12"/>
  </cols>
  <sheetData>
    <row r="1" spans="1:180" s="9" customFormat="1" ht="16" x14ac:dyDescent="0.2">
      <c r="A1" s="8"/>
      <c r="B1" s="257" t="s">
        <v>126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</row>
    <row r="2" spans="1:180" s="10" customFormat="1" x14ac:dyDescent="0.2"/>
    <row r="3" spans="1:180" ht="75" x14ac:dyDescent="0.2">
      <c r="B3" s="11" t="s">
        <v>18</v>
      </c>
      <c r="C3" s="11" t="s">
        <v>116</v>
      </c>
      <c r="D3" s="11" t="s">
        <v>557</v>
      </c>
      <c r="E3" s="11" t="s">
        <v>558</v>
      </c>
      <c r="F3" s="11" t="s">
        <v>559</v>
      </c>
      <c r="G3" s="11" t="s">
        <v>128</v>
      </c>
      <c r="H3" s="11" t="s">
        <v>560</v>
      </c>
      <c r="I3" s="11" t="s">
        <v>561</v>
      </c>
      <c r="J3" s="11" t="s">
        <v>562</v>
      </c>
      <c r="K3" s="11" t="s">
        <v>563</v>
      </c>
      <c r="L3" s="11" t="s">
        <v>564</v>
      </c>
      <c r="M3" s="11" t="s">
        <v>129</v>
      </c>
      <c r="N3" s="11" t="s">
        <v>130</v>
      </c>
      <c r="O3" s="11" t="s">
        <v>131</v>
      </c>
      <c r="P3" s="11" t="s">
        <v>132</v>
      </c>
      <c r="Q3" s="11" t="s">
        <v>133</v>
      </c>
      <c r="R3" s="11" t="s">
        <v>134</v>
      </c>
      <c r="S3" s="11" t="s">
        <v>135</v>
      </c>
      <c r="T3" s="11" t="s">
        <v>136</v>
      </c>
      <c r="U3" s="11" t="s">
        <v>552</v>
      </c>
      <c r="V3" s="11" t="s">
        <v>137</v>
      </c>
      <c r="W3" s="11" t="s">
        <v>138</v>
      </c>
      <c r="X3" s="11" t="s">
        <v>27</v>
      </c>
    </row>
    <row r="4" spans="1:180" ht="15" x14ac:dyDescent="0.2">
      <c r="B4" s="13" t="s">
        <v>139</v>
      </c>
      <c r="C4" s="14" t="s">
        <v>140</v>
      </c>
      <c r="D4" s="16">
        <v>0</v>
      </c>
      <c r="E4" s="16">
        <v>2173.3780000000002</v>
      </c>
      <c r="F4" s="16">
        <v>8502.8829999999998</v>
      </c>
      <c r="G4" s="16">
        <f>+E4+F4</f>
        <v>10676.261</v>
      </c>
      <c r="H4" s="16">
        <v>0</v>
      </c>
      <c r="I4" s="16">
        <f>+E4+F4+H4</f>
        <v>10676.261</v>
      </c>
      <c r="J4" s="16">
        <f>+I4*'8 Parametros Avancados'!$D$11</f>
        <v>10654.908478000001</v>
      </c>
      <c r="K4" s="16">
        <v>0</v>
      </c>
      <c r="L4" s="16">
        <v>0</v>
      </c>
      <c r="M4" s="16">
        <v>0</v>
      </c>
      <c r="N4" s="16">
        <f>+I4</f>
        <v>10676.261</v>
      </c>
      <c r="O4" s="16">
        <v>0</v>
      </c>
      <c r="P4" s="16">
        <v>0</v>
      </c>
      <c r="Q4" s="16">
        <v>0</v>
      </c>
      <c r="R4" s="17">
        <v>0</v>
      </c>
      <c r="S4" s="18">
        <v>0</v>
      </c>
      <c r="T4" s="16">
        <v>0</v>
      </c>
      <c r="U4" s="16">
        <v>0</v>
      </c>
      <c r="V4" s="16">
        <f>MIN(0,(T4+M4)-U4)</f>
        <v>0</v>
      </c>
      <c r="W4" s="16">
        <f>MIN(0,(T4+M4)-V4)</f>
        <v>0</v>
      </c>
      <c r="X4" s="16">
        <f>IF(U4&gt;0,IF(B4&lt;='8 Parametros Avancados'!$F$6+'8 Parametros Avancados'!$F$14-1,U4*'8 Parametros Avancados'!$F$12,U4*'8 Parametros Avancados'!$F$13),0)</f>
        <v>0</v>
      </c>
    </row>
    <row r="5" spans="1:180" ht="15" x14ac:dyDescent="0.2">
      <c r="B5" s="19">
        <v>2022</v>
      </c>
      <c r="C5" s="20" t="s">
        <v>122</v>
      </c>
      <c r="D5" s="21">
        <f>+'2 Producao Receitas'!I4</f>
        <v>39.0048624</v>
      </c>
      <c r="E5" s="15">
        <v>0</v>
      </c>
      <c r="F5" s="15">
        <v>736.10699999999997</v>
      </c>
      <c r="G5" s="22">
        <f t="shared" ref="G5:G31" si="0">G4+F5+E5</f>
        <v>11412.368</v>
      </c>
      <c r="H5" s="168">
        <f>+INDEX('8 Parametros Avancados'!$Q$75:$Q$101,MATCH('3 Cost Recovery ProfitOil'!B5,'8 Parametros Avancados'!$I$75:$I$101,0))</f>
        <v>250</v>
      </c>
      <c r="I5" s="22">
        <f t="shared" ref="I5:I31" si="1">+E5+F5+H5</f>
        <v>986.10699999999997</v>
      </c>
      <c r="J5" s="22">
        <f>+I5*'8 Parametros Avancados'!$D$11</f>
        <v>984.13478599999996</v>
      </c>
      <c r="K5" s="22">
        <f t="shared" ref="K5:K31" si="2">+N4+J5</f>
        <v>11660.395786000001</v>
      </c>
      <c r="L5" s="22">
        <f>D5*'8 Parametros Avancados'!$F$10</f>
        <v>29.253646799999999</v>
      </c>
      <c r="M5" s="22">
        <f>MIN(L5,K5)</f>
        <v>29.253646799999999</v>
      </c>
      <c r="N5" s="22">
        <f t="shared" ref="N5:N31" si="3">K5-M5</f>
        <v>11631.142139200001</v>
      </c>
      <c r="O5" s="22">
        <f>MAX(0,D5-M5)</f>
        <v>9.7512156000000019</v>
      </c>
      <c r="P5" s="22">
        <f>P4+T5+M5-X5-H5</f>
        <v>-210.99513759999999</v>
      </c>
      <c r="Q5" s="22">
        <f>IF(G5=0,0,P4/G4)</f>
        <v>0</v>
      </c>
      <c r="R5" s="23">
        <v>0</v>
      </c>
      <c r="S5" s="106">
        <f t="shared" ref="S5:S31" si="4">O5*R5</f>
        <v>0</v>
      </c>
      <c r="T5" s="22">
        <f t="shared" ref="T5:T31" si="5">O5*(1-R5)</f>
        <v>9.7512156000000019</v>
      </c>
      <c r="U5" s="22">
        <f>+'8 Parametros Avancados'!F21</f>
        <v>4733.1255000000001</v>
      </c>
      <c r="V5" s="22">
        <f>MAX(0,(T5+M5)-U5+W4)</f>
        <v>0</v>
      </c>
      <c r="W5" s="22">
        <f>MIN(0,(T5+M5)-U5+W4)</f>
        <v>-4694.1206376</v>
      </c>
      <c r="X5" s="22">
        <f>IF(V5&gt;0,IF(B5&lt;='8 Parametros Avancados'!$F$6+'8 Parametros Avancados'!$F$14-1,V5*'8 Parametros Avancados'!$F$12,V5*'8 Parametros Avancados'!$F$13),0)</f>
        <v>0</v>
      </c>
    </row>
    <row r="6" spans="1:180" ht="15" x14ac:dyDescent="0.2">
      <c r="B6" s="19">
        <v>2023</v>
      </c>
      <c r="C6" s="20" t="s">
        <v>122</v>
      </c>
      <c r="D6" s="21">
        <f>+'2 Producao Receitas'!I5</f>
        <v>1263.6001322000002</v>
      </c>
      <c r="E6" s="15">
        <v>0.156</v>
      </c>
      <c r="F6" s="15">
        <v>126.33499999999999</v>
      </c>
      <c r="G6" s="22">
        <f t="shared" si="0"/>
        <v>11538.859</v>
      </c>
      <c r="H6" s="168">
        <f>+INDEX('8 Parametros Avancados'!$Q$75:$Q$101,MATCH('3 Cost Recovery ProfitOil'!B6,'8 Parametros Avancados'!$I$75:$I$101,0))</f>
        <v>648</v>
      </c>
      <c r="I6" s="22">
        <f t="shared" si="1"/>
        <v>774.49099999999999</v>
      </c>
      <c r="J6" s="22">
        <f>+I6*'8 Parametros Avancados'!$D$11</f>
        <v>772.94201799999996</v>
      </c>
      <c r="K6" s="22">
        <f t="shared" si="2"/>
        <v>12404.084157200001</v>
      </c>
      <c r="L6" s="22">
        <f>D6*'8 Parametros Avancados'!$F$10</f>
        <v>947.70009915000014</v>
      </c>
      <c r="M6" s="22">
        <f t="shared" ref="M6:M31" si="6">MIN(L6,K6)</f>
        <v>947.70009915000014</v>
      </c>
      <c r="N6" s="22">
        <f t="shared" si="3"/>
        <v>11456.38405805</v>
      </c>
      <c r="O6" s="22">
        <f>MAX(0,D6-M6)</f>
        <v>315.90003305000005</v>
      </c>
      <c r="P6" s="22">
        <f>P5+T6+M6-X6-H6</f>
        <v>357.2199896425002</v>
      </c>
      <c r="Q6" s="22">
        <f>IF(G6=0,0,P5/G5)</f>
        <v>-1.8488287233639853E-2</v>
      </c>
      <c r="R6" s="23">
        <f t="shared" ref="R6:R31" si="7">IF(Q5&lt;1,0.15,IF(Q5&lt;2,0.25,IF(Q5&lt;3,0.35,IF(Q5&lt;4,0.45,0.55))))</f>
        <v>0.15</v>
      </c>
      <c r="S6" s="106">
        <f t="shared" si="4"/>
        <v>47.385004957500009</v>
      </c>
      <c r="T6" s="22">
        <f t="shared" si="5"/>
        <v>268.51502809250002</v>
      </c>
      <c r="U6" s="22">
        <f>+'8 Parametros Avancados'!F22</f>
        <v>2989.4872499999997</v>
      </c>
      <c r="V6" s="22">
        <f>MAX(0,(T6+M6)-U6+W5)</f>
        <v>0</v>
      </c>
      <c r="W6" s="22">
        <f t="shared" ref="W6:W31" si="8">MIN(0,(T6+M6)-U6+W5)</f>
        <v>-6467.3927603574994</v>
      </c>
      <c r="X6" s="22">
        <f>IF(V6&gt;0,IF(B6&lt;='8 Parametros Avancados'!$F$6+'8 Parametros Avancados'!$F$14-1,V6*'8 Parametros Avancados'!$F$12,V6*'8 Parametros Avancados'!$F$13),0)</f>
        <v>0</v>
      </c>
    </row>
    <row r="7" spans="1:180" ht="15" x14ac:dyDescent="0.2">
      <c r="B7" s="24">
        <v>2024</v>
      </c>
      <c r="C7" s="25" t="s">
        <v>123</v>
      </c>
      <c r="D7" s="28">
        <f>+'2 Producao Receitas'!I6</f>
        <v>1620.1736712000002</v>
      </c>
      <c r="E7" s="26">
        <v>0</v>
      </c>
      <c r="F7" s="26">
        <v>141.88999999999999</v>
      </c>
      <c r="G7" s="27">
        <f t="shared" si="0"/>
        <v>11680.749</v>
      </c>
      <c r="H7" s="169">
        <f>+INDEX('8 Parametros Avancados'!$Q$75:$Q$101,MATCH('3 Cost Recovery ProfitOil'!B7,'8 Parametros Avancados'!$I$75:$I$101,0))</f>
        <v>638</v>
      </c>
      <c r="I7" s="27">
        <f t="shared" si="1"/>
        <v>779.89</v>
      </c>
      <c r="J7" s="27">
        <f>+I7*'8 Parametros Avancados'!$D$11</f>
        <v>778.33021999999994</v>
      </c>
      <c r="K7" s="27">
        <f t="shared" si="2"/>
        <v>12234.71427805</v>
      </c>
      <c r="L7" s="27">
        <f>D7*'8 Parametros Avancados'!$F$10</f>
        <v>1215.1302534000001</v>
      </c>
      <c r="M7" s="27">
        <f t="shared" si="6"/>
        <v>1215.1302534000001</v>
      </c>
      <c r="N7" s="27">
        <f t="shared" si="3"/>
        <v>11019.584024649999</v>
      </c>
      <c r="O7" s="27">
        <f>MAX(0,D7-M7)</f>
        <v>405.04341780000004</v>
      </c>
      <c r="P7" s="27">
        <f>P6+T7+M7-X7-H7</f>
        <v>1278.6371481725005</v>
      </c>
      <c r="Q7" s="27">
        <f>IF(G7=0,0,P6/G6)</f>
        <v>3.0957999369131746E-2</v>
      </c>
      <c r="R7" s="3">
        <f t="shared" si="7"/>
        <v>0.15</v>
      </c>
      <c r="S7" s="4">
        <f t="shared" si="4"/>
        <v>60.756512670000006</v>
      </c>
      <c r="T7" s="27">
        <f t="shared" si="5"/>
        <v>344.28690513000004</v>
      </c>
      <c r="U7" s="27">
        <f>+'8 Parametros Avancados'!F23</f>
        <v>3014.8037499999996</v>
      </c>
      <c r="V7" s="27">
        <f t="shared" ref="V7:V31" si="9">MAX(0,(T7+M7)-U7+W6)</f>
        <v>0</v>
      </c>
      <c r="W7" s="27">
        <f t="shared" si="8"/>
        <v>-7922.7793518274993</v>
      </c>
      <c r="X7" s="27">
        <f>IF(V7&gt;0,IF(B7&lt;='8 Parametros Avancados'!$F$6+'8 Parametros Avancados'!$F$14-1,V7*'8 Parametros Avancados'!$F$12,V7*'8 Parametros Avancados'!$F$13),0)</f>
        <v>0</v>
      </c>
    </row>
    <row r="8" spans="1:180" ht="15" x14ac:dyDescent="0.2">
      <c r="B8" s="24">
        <v>2025</v>
      </c>
      <c r="C8" s="25" t="s">
        <v>123</v>
      </c>
      <c r="D8" s="28">
        <f>+'2 Producao Receitas'!I7</f>
        <v>1552.6511028</v>
      </c>
      <c r="E8" s="26">
        <v>0</v>
      </c>
      <c r="F8" s="26">
        <v>0</v>
      </c>
      <c r="G8" s="27">
        <f t="shared" si="0"/>
        <v>11680.749</v>
      </c>
      <c r="H8" s="169">
        <f>+INDEX('8 Parametros Avancados'!$Q$75:$Q$101,MATCH('3 Cost Recovery ProfitOil'!B8,'8 Parametros Avancados'!$I$75:$I$101,0))</f>
        <v>675.70373519999998</v>
      </c>
      <c r="I8" s="27">
        <f t="shared" si="1"/>
        <v>675.70373519999998</v>
      </c>
      <c r="J8" s="27">
        <f>+I8*'8 Parametros Avancados'!$D$11</f>
        <v>674.35232772960001</v>
      </c>
      <c r="K8" s="27">
        <f t="shared" si="2"/>
        <v>11693.9363523796</v>
      </c>
      <c r="L8" s="27">
        <f>D8*'8 Parametros Avancados'!$F$10</f>
        <v>1164.4883270999999</v>
      </c>
      <c r="M8" s="27">
        <f t="shared" si="6"/>
        <v>1164.4883270999999</v>
      </c>
      <c r="N8" s="27">
        <f t="shared" si="3"/>
        <v>10529.4480252796</v>
      </c>
      <c r="O8" s="27">
        <f>MAX(0,D8-M8)</f>
        <v>388.16277570000011</v>
      </c>
      <c r="P8" s="27">
        <f>P7+T8+M8-X8-H8</f>
        <v>2097.3600994175004</v>
      </c>
      <c r="Q8" s="27">
        <f>IF(G8=0,0,P7/G7)</f>
        <v>0.10946533892411356</v>
      </c>
      <c r="R8" s="3">
        <f t="shared" si="7"/>
        <v>0.15</v>
      </c>
      <c r="S8" s="4">
        <f t="shared" si="4"/>
        <v>58.224416355000017</v>
      </c>
      <c r="T8" s="27">
        <f t="shared" si="5"/>
        <v>329.93835934500009</v>
      </c>
      <c r="U8" s="27">
        <f>+'8 Parametros Avancados'!F24</f>
        <v>3052.5074851999998</v>
      </c>
      <c r="V8" s="27">
        <f t="shared" si="9"/>
        <v>0</v>
      </c>
      <c r="W8" s="27">
        <f t="shared" si="8"/>
        <v>-9480.860150582499</v>
      </c>
      <c r="X8" s="27">
        <f>IF(V8&gt;0,IF(B8&lt;='8 Parametros Avancados'!$F$6+'8 Parametros Avancados'!$F$14-1,V8*'8 Parametros Avancados'!$F$12,V8*'8 Parametros Avancados'!$F$13),0)</f>
        <v>0</v>
      </c>
    </row>
    <row r="9" spans="1:180" ht="15" x14ac:dyDescent="0.2">
      <c r="B9" s="24">
        <v>2026</v>
      </c>
      <c r="C9" s="25" t="s">
        <v>123</v>
      </c>
      <c r="D9" s="28">
        <f>+'2 Producao Receitas'!I8</f>
        <v>2017.70436</v>
      </c>
      <c r="E9" s="27">
        <v>0</v>
      </c>
      <c r="F9" s="27">
        <v>0</v>
      </c>
      <c r="G9" s="27">
        <f t="shared" si="0"/>
        <v>11680.749</v>
      </c>
      <c r="H9" s="169">
        <f>+INDEX('8 Parametros Avancados'!$Q$75:$Q$101,MATCH('3 Cost Recovery ProfitOil'!B9,'8 Parametros Avancados'!$I$75:$I$101,0))</f>
        <v>689.22781705524244</v>
      </c>
      <c r="I9" s="27">
        <f t="shared" si="1"/>
        <v>689.22781705524244</v>
      </c>
      <c r="J9" s="27">
        <f>+I9*'8 Parametros Avancados'!$D$11</f>
        <v>687.8493614211319</v>
      </c>
      <c r="K9" s="27">
        <f t="shared" si="2"/>
        <v>11217.297386700731</v>
      </c>
      <c r="L9" s="27">
        <f>D9*'8 Parametros Avancados'!$F$10</f>
        <v>1513.27827</v>
      </c>
      <c r="M9" s="27">
        <f t="shared" si="6"/>
        <v>1513.27827</v>
      </c>
      <c r="N9" s="27">
        <f t="shared" si="3"/>
        <v>9704.0191167007306</v>
      </c>
      <c r="O9" s="27">
        <f>MAX(0,D9-M9)</f>
        <v>504.42608999999993</v>
      </c>
      <c r="P9" s="27">
        <f>P8+T9+M9-X9-H9</f>
        <v>3350.1727288622578</v>
      </c>
      <c r="Q9" s="27">
        <f>IF(G9=0,0,P8/G8)</f>
        <v>0.17955698726318839</v>
      </c>
      <c r="R9" s="3">
        <f t="shared" si="7"/>
        <v>0.15</v>
      </c>
      <c r="S9" s="4">
        <f t="shared" si="4"/>
        <v>75.663913499999992</v>
      </c>
      <c r="T9" s="27">
        <f t="shared" si="5"/>
        <v>428.76217649999995</v>
      </c>
      <c r="U9" s="27">
        <f>+'8 Parametros Avancados'!F25</f>
        <v>756.28406705524242</v>
      </c>
      <c r="V9" s="27">
        <f t="shared" si="9"/>
        <v>0</v>
      </c>
      <c r="W9" s="27">
        <f t="shared" si="8"/>
        <v>-8295.1037711377412</v>
      </c>
      <c r="X9" s="27">
        <f>IF(V9&gt;0,IF(B9&lt;='8 Parametros Avancados'!$F$6+'8 Parametros Avancados'!$F$14-1,V9*'8 Parametros Avancados'!$F$12,V9*'8 Parametros Avancados'!$F$13),0)</f>
        <v>0</v>
      </c>
    </row>
    <row r="10" spans="1:180" ht="15" x14ac:dyDescent="0.2">
      <c r="B10" s="24">
        <v>2027</v>
      </c>
      <c r="C10" s="25" t="s">
        <v>123</v>
      </c>
      <c r="D10" s="28">
        <f>+'2 Producao Receitas'!I9</f>
        <v>2066.7670800000001</v>
      </c>
      <c r="E10" s="27">
        <v>0</v>
      </c>
      <c r="F10" s="27">
        <v>0</v>
      </c>
      <c r="G10" s="27">
        <f t="shared" si="0"/>
        <v>11680.749</v>
      </c>
      <c r="H10" s="169">
        <f>+INDEX('8 Parametros Avancados'!$Q$75:$Q$101,MATCH('3 Cost Recovery ProfitOil'!B10,'8 Parametros Avancados'!$I$75:$I$101,0))</f>
        <v>719.60938501137434</v>
      </c>
      <c r="I10" s="27">
        <f t="shared" si="1"/>
        <v>719.60938501137434</v>
      </c>
      <c r="J10" s="27">
        <f>+I10*'8 Parametros Avancados'!$D$11</f>
        <v>718.17016624135158</v>
      </c>
      <c r="K10" s="27">
        <f t="shared" si="2"/>
        <v>10422.189282942083</v>
      </c>
      <c r="L10" s="27">
        <f>D10*'8 Parametros Avancados'!$F$10</f>
        <v>1550.0753100000002</v>
      </c>
      <c r="M10" s="27">
        <f t="shared" si="6"/>
        <v>1550.0753100000002</v>
      </c>
      <c r="N10" s="27">
        <f t="shared" si="3"/>
        <v>8872.1139729420829</v>
      </c>
      <c r="O10" s="27">
        <f>MAX(0,D10-M10)</f>
        <v>516.69176999999991</v>
      </c>
      <c r="P10" s="27">
        <f>P9+T10+M10-X10-H10</f>
        <v>4619.826658350883</v>
      </c>
      <c r="Q10" s="27">
        <f>IF(G10=0,0,P9/G9)</f>
        <v>0.28681146464685253</v>
      </c>
      <c r="R10" s="3">
        <f t="shared" si="7"/>
        <v>0.15</v>
      </c>
      <c r="S10" s="4">
        <f t="shared" si="4"/>
        <v>77.503765499999986</v>
      </c>
      <c r="T10" s="27">
        <f t="shared" si="5"/>
        <v>439.18800449999992</v>
      </c>
      <c r="U10" s="27">
        <f>+'8 Parametros Avancados'!F26</f>
        <v>755.08188501137431</v>
      </c>
      <c r="V10" s="27">
        <f t="shared" si="9"/>
        <v>0</v>
      </c>
      <c r="W10" s="27">
        <f t="shared" si="8"/>
        <v>-7060.922341649115</v>
      </c>
      <c r="X10" s="27">
        <f>IF(V10&gt;0,IF(B10&lt;='8 Parametros Avancados'!$F$6+'8 Parametros Avancados'!$F$14-1,V10*'8 Parametros Avancados'!$F$12,V10*'8 Parametros Avancados'!$F$13),0)</f>
        <v>0</v>
      </c>
    </row>
    <row r="11" spans="1:180" ht="15" x14ac:dyDescent="0.2">
      <c r="B11" s="24">
        <v>2028</v>
      </c>
      <c r="C11" s="25" t="s">
        <v>123</v>
      </c>
      <c r="D11" s="28">
        <f>+'2 Producao Receitas'!I10</f>
        <v>2066.7670800000001</v>
      </c>
      <c r="E11" s="27">
        <v>0</v>
      </c>
      <c r="F11" s="27">
        <v>0</v>
      </c>
      <c r="G11" s="27">
        <f t="shared" si="0"/>
        <v>11680.749</v>
      </c>
      <c r="H11" s="169">
        <f>+INDEX('8 Parametros Avancados'!$Q$75:$Q$101,MATCH('3 Cost Recovery ProfitOil'!B11,'8 Parametros Avancados'!$I$75:$I$101,0))</f>
        <v>742.37344191789953</v>
      </c>
      <c r="I11" s="27">
        <f t="shared" si="1"/>
        <v>742.37344191789953</v>
      </c>
      <c r="J11" s="27">
        <f>+I11*'8 Parametros Avancados'!$D$11</f>
        <v>740.88869503406374</v>
      </c>
      <c r="K11" s="27">
        <f t="shared" si="2"/>
        <v>9613.0026679761468</v>
      </c>
      <c r="L11" s="27">
        <f>D11*'8 Parametros Avancados'!$F$10</f>
        <v>1550.0753100000002</v>
      </c>
      <c r="M11" s="27">
        <f t="shared" si="6"/>
        <v>1550.0753100000002</v>
      </c>
      <c r="N11" s="27">
        <f t="shared" si="3"/>
        <v>8062.9273579761466</v>
      </c>
      <c r="O11" s="27">
        <f>MAX(0,D11-M11)</f>
        <v>516.69176999999991</v>
      </c>
      <c r="P11" s="27">
        <f>P10+T11+M11-X11-H11</f>
        <v>5866.716530932983</v>
      </c>
      <c r="Q11" s="27">
        <f>IF(G11=0,0,P10/G10)</f>
        <v>0.3955077416996875</v>
      </c>
      <c r="R11" s="3">
        <f t="shared" si="7"/>
        <v>0.15</v>
      </c>
      <c r="S11" s="4">
        <f t="shared" si="4"/>
        <v>77.503765499999986</v>
      </c>
      <c r="T11" s="27">
        <f t="shared" si="5"/>
        <v>439.18800449999992</v>
      </c>
      <c r="U11" s="27">
        <f>+'8 Parametros Avancados'!Q81</f>
        <v>742.37344191789953</v>
      </c>
      <c r="V11" s="27">
        <f t="shared" si="9"/>
        <v>0</v>
      </c>
      <c r="W11" s="27">
        <f t="shared" si="8"/>
        <v>-5814.032469067015</v>
      </c>
      <c r="X11" s="27">
        <f>IF(V11&gt;0,IF(B11&lt;='8 Parametros Avancados'!$F$6+'8 Parametros Avancados'!$F$14-1,V11*'8 Parametros Avancados'!$F$12,V11*'8 Parametros Avancados'!$F$13),0)</f>
        <v>0</v>
      </c>
    </row>
    <row r="12" spans="1:180" ht="15" x14ac:dyDescent="0.2">
      <c r="B12" s="24">
        <v>2029</v>
      </c>
      <c r="C12" s="25" t="s">
        <v>123</v>
      </c>
      <c r="D12" s="28">
        <f>+'2 Producao Receitas'!I11</f>
        <v>2066.7670800000001</v>
      </c>
      <c r="E12" s="27">
        <v>0</v>
      </c>
      <c r="F12" s="27">
        <v>0</v>
      </c>
      <c r="G12" s="27">
        <f t="shared" si="0"/>
        <v>11680.749</v>
      </c>
      <c r="H12" s="169">
        <f>+INDEX('8 Parametros Avancados'!$Q$75:$Q$101,MATCH('3 Cost Recovery ProfitOil'!B12,'8 Parametros Avancados'!$I$75:$I$101,0))</f>
        <v>764.824793042274</v>
      </c>
      <c r="I12" s="27">
        <f t="shared" si="1"/>
        <v>764.824793042274</v>
      </c>
      <c r="J12" s="27">
        <f>+I12*'8 Parametros Avancados'!$D$11</f>
        <v>763.29514345618941</v>
      </c>
      <c r="K12" s="27">
        <f t="shared" si="2"/>
        <v>8826.2225014323358</v>
      </c>
      <c r="L12" s="27">
        <f>D12*'8 Parametros Avancados'!$F$10</f>
        <v>1550.0753100000002</v>
      </c>
      <c r="M12" s="27">
        <f t="shared" si="6"/>
        <v>1550.0753100000002</v>
      </c>
      <c r="N12" s="27">
        <f t="shared" si="3"/>
        <v>7276.1471914323356</v>
      </c>
      <c r="O12" s="27">
        <f>MAX(0,D12-M12)</f>
        <v>516.69176999999991</v>
      </c>
      <c r="P12" s="27">
        <f>P11+T12+M12-X12-H12</f>
        <v>7091.155052390709</v>
      </c>
      <c r="Q12" s="27">
        <f>IF(G12=0,0,P11/G11)</f>
        <v>0.50225516625115252</v>
      </c>
      <c r="R12" s="3">
        <f t="shared" si="7"/>
        <v>0.15</v>
      </c>
      <c r="S12" s="4">
        <f t="shared" si="4"/>
        <v>77.503765499999986</v>
      </c>
      <c r="T12" s="27">
        <f t="shared" si="5"/>
        <v>439.18800449999992</v>
      </c>
      <c r="U12" s="27">
        <f>+'8 Parametros Avancados'!Q82</f>
        <v>764.824793042274</v>
      </c>
      <c r="V12" s="27">
        <f t="shared" si="9"/>
        <v>0</v>
      </c>
      <c r="W12" s="27">
        <f t="shared" si="8"/>
        <v>-4589.593947609289</v>
      </c>
      <c r="X12" s="27">
        <f>IF(V12&gt;0,IF(B12&lt;='8 Parametros Avancados'!$F$6+'8 Parametros Avancados'!$F$14-1,V12*'8 Parametros Avancados'!$F$12,V12*'8 Parametros Avancados'!$F$13),0)</f>
        <v>0</v>
      </c>
    </row>
    <row r="13" spans="1:180" ht="15" x14ac:dyDescent="0.2">
      <c r="B13" s="24">
        <v>2030</v>
      </c>
      <c r="C13" s="25" t="s">
        <v>123</v>
      </c>
      <c r="D13" s="28">
        <f>+'2 Producao Receitas'!I12</f>
        <v>2066.7670800000001</v>
      </c>
      <c r="E13" s="27">
        <v>0</v>
      </c>
      <c r="F13" s="27">
        <v>0</v>
      </c>
      <c r="G13" s="27">
        <f t="shared" si="0"/>
        <v>11680.749</v>
      </c>
      <c r="H13" s="169">
        <f>+INDEX('8 Parametros Avancados'!$Q$75:$Q$101,MATCH('3 Cost Recovery ProfitOil'!B13,'8 Parametros Avancados'!$I$75:$I$101,0))</f>
        <v>787.80711221599245</v>
      </c>
      <c r="I13" s="27">
        <f t="shared" si="1"/>
        <v>787.80711221599245</v>
      </c>
      <c r="J13" s="27">
        <f>+I13*'8 Parametros Avancados'!$D$11</f>
        <v>786.23149799156045</v>
      </c>
      <c r="K13" s="27">
        <f t="shared" si="2"/>
        <v>8062.3786894238965</v>
      </c>
      <c r="L13" s="27">
        <f>D13*'8 Parametros Avancados'!$F$10</f>
        <v>1550.0753100000002</v>
      </c>
      <c r="M13" s="27">
        <f t="shared" si="6"/>
        <v>1550.0753100000002</v>
      </c>
      <c r="N13" s="27">
        <f t="shared" si="3"/>
        <v>6512.3033794238963</v>
      </c>
      <c r="O13" s="27">
        <f>MAX(0,D13-M13)</f>
        <v>516.69176999999991</v>
      </c>
      <c r="P13" s="27">
        <f>P12+T13+M13-X13-H13</f>
        <v>8292.6112546747172</v>
      </c>
      <c r="Q13" s="27">
        <f>IF(G13=0,0,P12/G12)</f>
        <v>0.60708050933982993</v>
      </c>
      <c r="R13" s="3">
        <f t="shared" si="7"/>
        <v>0.15</v>
      </c>
      <c r="S13" s="4">
        <f t="shared" si="4"/>
        <v>77.503765499999986</v>
      </c>
      <c r="T13" s="27">
        <f t="shared" si="5"/>
        <v>439.18800449999992</v>
      </c>
      <c r="U13" s="27">
        <f>+'8 Parametros Avancados'!Q83</f>
        <v>787.80711221599245</v>
      </c>
      <c r="V13" s="27">
        <f t="shared" si="9"/>
        <v>0</v>
      </c>
      <c r="W13" s="27">
        <f t="shared" si="8"/>
        <v>-3388.1377453252817</v>
      </c>
      <c r="X13" s="27">
        <f>IF(V13&gt;0,IF(B13&lt;='8 Parametros Avancados'!$F$6+'8 Parametros Avancados'!$F$14-1,V13*'8 Parametros Avancados'!$F$12,V13*'8 Parametros Avancados'!$F$13),0)</f>
        <v>0</v>
      </c>
    </row>
    <row r="14" spans="1:180" ht="15" x14ac:dyDescent="0.2">
      <c r="B14" s="24">
        <v>2031</v>
      </c>
      <c r="C14" s="25" t="s">
        <v>123</v>
      </c>
      <c r="D14" s="28">
        <f>+'2 Producao Receitas'!I13</f>
        <v>2066.7670800000001</v>
      </c>
      <c r="E14" s="27">
        <v>0</v>
      </c>
      <c r="F14" s="27">
        <v>0</v>
      </c>
      <c r="G14" s="27">
        <f t="shared" si="0"/>
        <v>11680.749</v>
      </c>
      <c r="H14" s="169">
        <f>+INDEX('8 Parametros Avancados'!$Q$75:$Q$101,MATCH('3 Cost Recovery ProfitOil'!B14,'8 Parametros Avancados'!$I$75:$I$101,0))</f>
        <v>813.01693980690425</v>
      </c>
      <c r="I14" s="27">
        <f t="shared" si="1"/>
        <v>813.01693980690425</v>
      </c>
      <c r="J14" s="27">
        <f>+I14*'8 Parametros Avancados'!$D$11</f>
        <v>811.39090592729042</v>
      </c>
      <c r="K14" s="27">
        <f t="shared" si="2"/>
        <v>7323.6942853511864</v>
      </c>
      <c r="L14" s="27">
        <f>D14*'8 Parametros Avancados'!$F$10</f>
        <v>1550.0753100000002</v>
      </c>
      <c r="M14" s="27">
        <f t="shared" si="6"/>
        <v>1550.0753100000002</v>
      </c>
      <c r="N14" s="27">
        <f t="shared" si="3"/>
        <v>5773.6189753511862</v>
      </c>
      <c r="O14" s="27">
        <f>MAX(0,D14-M14)</f>
        <v>516.69176999999991</v>
      </c>
      <c r="P14" s="27">
        <f>P13+T14+M14-X14-H14</f>
        <v>9468.8576293678125</v>
      </c>
      <c r="Q14" s="27">
        <f>IF(G14=0,0,P13/G13)</f>
        <v>0.70993831428744147</v>
      </c>
      <c r="R14" s="3">
        <f t="shared" si="7"/>
        <v>0.15</v>
      </c>
      <c r="S14" s="4">
        <f t="shared" si="4"/>
        <v>77.503765499999986</v>
      </c>
      <c r="T14" s="27">
        <f t="shared" si="5"/>
        <v>439.18800449999992</v>
      </c>
      <c r="U14" s="27">
        <f>+'8 Parametros Avancados'!Q84</f>
        <v>813.01693980690425</v>
      </c>
      <c r="V14" s="27">
        <f t="shared" si="9"/>
        <v>0</v>
      </c>
      <c r="W14" s="27">
        <f t="shared" si="8"/>
        <v>-2211.891370632186</v>
      </c>
      <c r="X14" s="27">
        <f>IF(V14&gt;0,IF(B14&lt;='8 Parametros Avancados'!$F$6+'8 Parametros Avancados'!$F$14-1,V14*'8 Parametros Avancados'!$F$12,V14*'8 Parametros Avancados'!$F$13),0)</f>
        <v>0</v>
      </c>
    </row>
    <row r="15" spans="1:180" ht="15" x14ac:dyDescent="0.2">
      <c r="B15" s="24">
        <v>2032</v>
      </c>
      <c r="C15" s="25" t="s">
        <v>123</v>
      </c>
      <c r="D15" s="28">
        <f>+'2 Producao Receitas'!I14</f>
        <v>2066.7670800000001</v>
      </c>
      <c r="E15" s="27">
        <v>0</v>
      </c>
      <c r="F15" s="27">
        <v>0</v>
      </c>
      <c r="G15" s="27">
        <f t="shared" si="0"/>
        <v>11680.749</v>
      </c>
      <c r="H15" s="169">
        <f>+INDEX('8 Parametros Avancados'!$Q$75:$Q$101,MATCH('3 Cost Recovery ProfitOil'!B15,'8 Parametros Avancados'!$I$75:$I$101,0))</f>
        <v>838.7082751048024</v>
      </c>
      <c r="I15" s="27">
        <f t="shared" si="1"/>
        <v>838.7082751048024</v>
      </c>
      <c r="J15" s="27">
        <f>+I15*'8 Parametros Avancados'!$D$11</f>
        <v>837.03085855459278</v>
      </c>
      <c r="K15" s="27">
        <f t="shared" si="2"/>
        <v>6610.6498339057789</v>
      </c>
      <c r="L15" s="27">
        <f>D15*'8 Parametros Avancados'!$F$10</f>
        <v>1550.0753100000002</v>
      </c>
      <c r="M15" s="27">
        <f t="shared" si="6"/>
        <v>1550.0753100000002</v>
      </c>
      <c r="N15" s="27">
        <f t="shared" si="3"/>
        <v>5060.5745239057787</v>
      </c>
      <c r="O15" s="27">
        <f>MAX(0,D15-M15)</f>
        <v>516.69176999999991</v>
      </c>
      <c r="P15" s="27">
        <f>P14+T15+M15-X15-H15</f>
        <v>10619.412668763011</v>
      </c>
      <c r="Q15" s="27">
        <f>IF(G15=0,0,P14/G14)</f>
        <v>0.81063788198580522</v>
      </c>
      <c r="R15" s="3">
        <f t="shared" si="7"/>
        <v>0.15</v>
      </c>
      <c r="S15" s="4">
        <f t="shared" si="4"/>
        <v>77.503765499999986</v>
      </c>
      <c r="T15" s="27">
        <f t="shared" si="5"/>
        <v>439.18800449999992</v>
      </c>
      <c r="U15" s="27">
        <f>+'8 Parametros Avancados'!Q85</f>
        <v>838.7082751048024</v>
      </c>
      <c r="V15" s="27">
        <f t="shared" si="9"/>
        <v>0</v>
      </c>
      <c r="W15" s="27">
        <f t="shared" si="8"/>
        <v>-1061.3363312369884</v>
      </c>
      <c r="X15" s="27">
        <f>IF(V15&gt;0,IF(B15&lt;='8 Parametros Avancados'!$F$6+'8 Parametros Avancados'!$F$14-1,V15*'8 Parametros Avancados'!$F$12,V15*'8 Parametros Avancados'!$F$13),0)</f>
        <v>0</v>
      </c>
    </row>
    <row r="16" spans="1:180" ht="15" x14ac:dyDescent="0.2">
      <c r="B16" s="24">
        <v>2033</v>
      </c>
      <c r="C16" s="25" t="s">
        <v>123</v>
      </c>
      <c r="D16" s="28">
        <f>+'2 Producao Receitas'!I15</f>
        <v>2066.7670800000001</v>
      </c>
      <c r="E16" s="27">
        <v>0</v>
      </c>
      <c r="F16" s="27">
        <v>0</v>
      </c>
      <c r="G16" s="27">
        <f t="shared" si="0"/>
        <v>11680.749</v>
      </c>
      <c r="H16" s="169">
        <f>+INDEX('8 Parametros Avancados'!$Q$75:$Q$101,MATCH('3 Cost Recovery ProfitOil'!B16,'8 Parametros Avancados'!$I$75:$I$101,0))</f>
        <v>864.87597328807226</v>
      </c>
      <c r="I16" s="27">
        <f t="shared" si="1"/>
        <v>864.87597328807226</v>
      </c>
      <c r="J16" s="27">
        <f>+I16*'8 Parametros Avancados'!$D$11</f>
        <v>863.14622134149613</v>
      </c>
      <c r="K16" s="27">
        <f t="shared" si="2"/>
        <v>5923.7207452472749</v>
      </c>
      <c r="L16" s="27">
        <f>D16*'8 Parametros Avancados'!$F$10</f>
        <v>1550.0753100000002</v>
      </c>
      <c r="M16" s="27">
        <f t="shared" si="6"/>
        <v>1550.0753100000002</v>
      </c>
      <c r="N16" s="27">
        <f t="shared" si="3"/>
        <v>4373.6454352472747</v>
      </c>
      <c r="O16" s="27">
        <f>MAX(0,D16-M16)</f>
        <v>516.69176999999991</v>
      </c>
      <c r="P16" s="27">
        <f>P15+T16+M16-X16-H16</f>
        <v>11723.623686782958</v>
      </c>
      <c r="Q16" s="27">
        <f>IF(G16=0,0,P15/G15)</f>
        <v>0.90913799010346086</v>
      </c>
      <c r="R16" s="3">
        <f t="shared" si="7"/>
        <v>0.15</v>
      </c>
      <c r="S16" s="4">
        <f t="shared" si="4"/>
        <v>77.503765499999986</v>
      </c>
      <c r="T16" s="27">
        <f t="shared" si="5"/>
        <v>439.18800449999992</v>
      </c>
      <c r="U16" s="27">
        <f>+'8 Parametros Avancados'!Q86</f>
        <v>864.87597328807226</v>
      </c>
      <c r="V16" s="27">
        <f t="shared" si="9"/>
        <v>63.051009974939461</v>
      </c>
      <c r="W16" s="27">
        <f t="shared" si="8"/>
        <v>0</v>
      </c>
      <c r="X16" s="27">
        <f>IF(V16&gt;0,IF(B16&lt;='8 Parametros Avancados'!$F$6+'8 Parametros Avancados'!$F$14-1,V16*'8 Parametros Avancados'!$F$12,V16*'8 Parametros Avancados'!$F$13),0)</f>
        <v>20.176323191980629</v>
      </c>
    </row>
    <row r="17" spans="2:24" ht="15" x14ac:dyDescent="0.2">
      <c r="B17" s="29">
        <v>2034</v>
      </c>
      <c r="C17" s="30" t="s">
        <v>124</v>
      </c>
      <c r="D17" s="31">
        <f>+'2 Producao Receitas'!I16</f>
        <v>1922.0933844000003</v>
      </c>
      <c r="E17" s="1">
        <v>0</v>
      </c>
      <c r="F17" s="1">
        <v>0</v>
      </c>
      <c r="G17" s="1">
        <f t="shared" si="0"/>
        <v>11680.749</v>
      </c>
      <c r="H17" s="170">
        <f>+INDEX('8 Parametros Avancados'!$Q$75:$Q$101,MATCH('3 Cost Recovery ProfitOil'!B17,'8 Parametros Avancados'!$I$75:$I$101,0))</f>
        <v>872.1597559581769</v>
      </c>
      <c r="I17" s="1">
        <f t="shared" si="1"/>
        <v>872.1597559581769</v>
      </c>
      <c r="J17" s="1">
        <f>+I17*'8 Parametros Avancados'!$D$11</f>
        <v>870.41543644626051</v>
      </c>
      <c r="K17" s="1">
        <f t="shared" si="2"/>
        <v>5244.0608716935349</v>
      </c>
      <c r="L17" s="1">
        <f>D17*'8 Parametros Avancados'!$F$10</f>
        <v>1441.5700383000003</v>
      </c>
      <c r="M17" s="1">
        <f t="shared" si="6"/>
        <v>1441.5700383000003</v>
      </c>
      <c r="N17" s="1">
        <f t="shared" si="3"/>
        <v>3802.4908333935346</v>
      </c>
      <c r="O17" s="1">
        <f>MAX(0,D17-M17)</f>
        <v>480.52334610000003</v>
      </c>
      <c r="P17" s="1">
        <f>P16+T17+M17-X17-H17</f>
        <v>12388.565172821198</v>
      </c>
      <c r="Q17" s="1">
        <f>IF(G17=0,0,P16/G16)</f>
        <v>1.0036705425981636</v>
      </c>
      <c r="R17" s="32">
        <f t="shared" si="7"/>
        <v>0.15</v>
      </c>
      <c r="S17" s="5">
        <f t="shared" si="4"/>
        <v>72.078501915000004</v>
      </c>
      <c r="T17" s="1">
        <f t="shared" si="5"/>
        <v>408.44484418500002</v>
      </c>
      <c r="U17" s="1">
        <f>+'8 Parametros Avancados'!Q87</f>
        <v>872.1597559581769</v>
      </c>
      <c r="V17" s="1">
        <f t="shared" si="9"/>
        <v>977.85512652682337</v>
      </c>
      <c r="W17" s="1">
        <f t="shared" si="8"/>
        <v>0</v>
      </c>
      <c r="X17" s="1">
        <f>IF(V17&gt;0,IF(B17&lt;='8 Parametros Avancados'!$F$6+'8 Parametros Avancados'!$F$14-1,V17*'8 Parametros Avancados'!$F$12,V17*'8 Parametros Avancados'!$F$13),0)</f>
        <v>312.9136404885835</v>
      </c>
    </row>
    <row r="18" spans="2:24" ht="15" x14ac:dyDescent="0.2">
      <c r="B18" s="29">
        <v>2035</v>
      </c>
      <c r="C18" s="30" t="s">
        <v>124</v>
      </c>
      <c r="D18" s="31">
        <f>+'2 Producao Receitas'!I17</f>
        <v>1787.5468474919999</v>
      </c>
      <c r="E18" s="1">
        <v>0</v>
      </c>
      <c r="F18" s="1">
        <v>0</v>
      </c>
      <c r="G18" s="1">
        <f t="shared" si="0"/>
        <v>11680.749</v>
      </c>
      <c r="H18" s="170">
        <f>+INDEX('8 Parametros Avancados'!$Q$75:$Q$101,MATCH('3 Cost Recovery ProfitOil'!B18,'8 Parametros Avancados'!$I$75:$I$101,0))</f>
        <v>880.4271412000968</v>
      </c>
      <c r="I18" s="1">
        <f t="shared" si="1"/>
        <v>880.4271412000968</v>
      </c>
      <c r="J18" s="1">
        <f>+I18*'8 Parametros Avancados'!$D$11</f>
        <v>878.66628691769665</v>
      </c>
      <c r="K18" s="1">
        <f t="shared" si="2"/>
        <v>4681.1571203112308</v>
      </c>
      <c r="L18" s="1">
        <f>D18*'8 Parametros Avancados'!$F$10</f>
        <v>1340.6601356189999</v>
      </c>
      <c r="M18" s="1">
        <f t="shared" si="6"/>
        <v>1340.6601356189999</v>
      </c>
      <c r="N18" s="1">
        <f t="shared" si="3"/>
        <v>3340.4969846922309</v>
      </c>
      <c r="O18" s="1">
        <f>MAX(0,D18-M18)</f>
        <v>446.88671187299997</v>
      </c>
      <c r="P18" s="1">
        <f>P17+T18+M18-X18-H18</f>
        <v>12929.435832081283</v>
      </c>
      <c r="Q18" s="1">
        <f>IF(G18=0,0,P17/G17)</f>
        <v>1.0605968138533923</v>
      </c>
      <c r="R18" s="32">
        <f t="shared" si="7"/>
        <v>0.25</v>
      </c>
      <c r="S18" s="5">
        <f t="shared" si="4"/>
        <v>111.72167796824999</v>
      </c>
      <c r="T18" s="1">
        <f t="shared" si="5"/>
        <v>335.16503390474998</v>
      </c>
      <c r="U18" s="1">
        <f>+'8 Parametros Avancados'!Q88</f>
        <v>880.4271412000968</v>
      </c>
      <c r="V18" s="1">
        <f t="shared" si="9"/>
        <v>795.39802832365319</v>
      </c>
      <c r="W18" s="1">
        <f t="shared" si="8"/>
        <v>0</v>
      </c>
      <c r="X18" s="1">
        <f>IF(V18&gt;0,IF(B18&lt;='8 Parametros Avancados'!$F$6+'8 Parametros Avancados'!$F$14-1,V18*'8 Parametros Avancados'!$F$12,V18*'8 Parametros Avancados'!$F$13),0)</f>
        <v>254.52736906356904</v>
      </c>
    </row>
    <row r="19" spans="2:24" ht="15" x14ac:dyDescent="0.2">
      <c r="B19" s="29">
        <v>2036</v>
      </c>
      <c r="C19" s="30" t="s">
        <v>124</v>
      </c>
      <c r="D19" s="31">
        <f>+'2 Producao Receitas'!I18</f>
        <v>1662.4185681675599</v>
      </c>
      <c r="E19" s="1">
        <v>0</v>
      </c>
      <c r="F19" s="1">
        <v>0</v>
      </c>
      <c r="G19" s="1">
        <f t="shared" si="0"/>
        <v>11680.749</v>
      </c>
      <c r="H19" s="170">
        <f>+INDEX('8 Parametros Avancados'!$Q$75:$Q$101,MATCH('3 Cost Recovery ProfitOil'!B19,'8 Parametros Avancados'!$I$75:$I$101,0))</f>
        <v>889.67137296771148</v>
      </c>
      <c r="I19" s="1">
        <f t="shared" si="1"/>
        <v>889.67137296771148</v>
      </c>
      <c r="J19" s="1">
        <f>+I19*'8 Parametros Avancados'!$D$11</f>
        <v>887.89203022177605</v>
      </c>
      <c r="K19" s="1">
        <f t="shared" si="2"/>
        <v>4228.389014914007</v>
      </c>
      <c r="L19" s="1">
        <f>D19*'8 Parametros Avancados'!$F$10</f>
        <v>1246.8139261256699</v>
      </c>
      <c r="M19" s="1">
        <f t="shared" si="6"/>
        <v>1246.8139261256699</v>
      </c>
      <c r="N19" s="1">
        <f t="shared" si="3"/>
        <v>2981.5750887883369</v>
      </c>
      <c r="O19" s="1">
        <f>MAX(0,D19-M19)</f>
        <v>415.60464204188997</v>
      </c>
      <c r="P19" s="1">
        <f>P18+T19+M19-X19-H19</f>
        <v>13384.251135670058</v>
      </c>
      <c r="Q19" s="1">
        <f>IF(G19=0,0,P18/G18)</f>
        <v>1.1069012639584399</v>
      </c>
      <c r="R19" s="32">
        <f t="shared" si="7"/>
        <v>0.25</v>
      </c>
      <c r="S19" s="5">
        <f t="shared" si="4"/>
        <v>103.90116051047249</v>
      </c>
      <c r="T19" s="1">
        <f t="shared" si="5"/>
        <v>311.70348153141748</v>
      </c>
      <c r="U19" s="1">
        <f>+'8 Parametros Avancados'!Q89</f>
        <v>889.67137296771148</v>
      </c>
      <c r="V19" s="1">
        <f t="shared" si="9"/>
        <v>668.84603468937598</v>
      </c>
      <c r="W19" s="1">
        <f t="shared" si="8"/>
        <v>0</v>
      </c>
      <c r="X19" s="1">
        <f>IF(V19&gt;0,IF(B19&lt;='8 Parametros Avancados'!$F$6+'8 Parametros Avancados'!$F$14-1,V19*'8 Parametros Avancados'!$F$12,V19*'8 Parametros Avancados'!$F$13),0)</f>
        <v>214.03073110060032</v>
      </c>
    </row>
    <row r="20" spans="2:24" ht="15" x14ac:dyDescent="0.2">
      <c r="B20" s="29">
        <v>2037</v>
      </c>
      <c r="C20" s="30" t="s">
        <v>124</v>
      </c>
      <c r="D20" s="31">
        <f>+'2 Producao Receitas'!I19</f>
        <v>1546.04926839583</v>
      </c>
      <c r="E20" s="1">
        <v>0</v>
      </c>
      <c r="F20" s="1">
        <v>0</v>
      </c>
      <c r="G20" s="1">
        <f t="shared" si="0"/>
        <v>11680.749</v>
      </c>
      <c r="H20" s="170">
        <f>+INDEX('8 Parametros Avancados'!$Q$75:$Q$101,MATCH('3 Cost Recovery ProfitOil'!B20,'8 Parametros Avancados'!$I$75:$I$101,0))</f>
        <v>900.23453548313614</v>
      </c>
      <c r="I20" s="1">
        <f t="shared" si="1"/>
        <v>900.23453548313614</v>
      </c>
      <c r="J20" s="1">
        <f>+I20*'8 Parametros Avancados'!$D$11</f>
        <v>898.43406641216984</v>
      </c>
      <c r="K20" s="1">
        <f t="shared" si="2"/>
        <v>3880.0091552005069</v>
      </c>
      <c r="L20" s="1">
        <f>D20*'8 Parametros Avancados'!$F$10</f>
        <v>1159.5369512968725</v>
      </c>
      <c r="M20" s="1">
        <f t="shared" si="6"/>
        <v>1159.5369512968725</v>
      </c>
      <c r="N20" s="1">
        <f t="shared" si="3"/>
        <v>2720.4722039036342</v>
      </c>
      <c r="O20" s="1">
        <f>MAX(0,D20-M20)</f>
        <v>386.51231709895751</v>
      </c>
      <c r="P20" s="1">
        <f>P19+T20+M20-X20-H20</f>
        <v>13757.698060143868</v>
      </c>
      <c r="Q20" s="1">
        <f>IF(G20=0,0,P19/G19)</f>
        <v>1.1458384334489216</v>
      </c>
      <c r="R20" s="32">
        <f t="shared" si="7"/>
        <v>0.25</v>
      </c>
      <c r="S20" s="5">
        <f t="shared" si="4"/>
        <v>96.628079274739378</v>
      </c>
      <c r="T20" s="1">
        <f t="shared" si="5"/>
        <v>289.88423782421813</v>
      </c>
      <c r="U20" s="1">
        <f>+'8 Parametros Avancados'!Q90</f>
        <v>900.23453548313614</v>
      </c>
      <c r="V20" s="1">
        <f t="shared" si="9"/>
        <v>549.18665363795458</v>
      </c>
      <c r="W20" s="1">
        <f t="shared" si="8"/>
        <v>0</v>
      </c>
      <c r="X20" s="1">
        <f>IF(V20&gt;0,IF(B20&lt;='8 Parametros Avancados'!$F$6+'8 Parametros Avancados'!$F$14-1,V20*'8 Parametros Avancados'!$F$12,V20*'8 Parametros Avancados'!$F$13),0)</f>
        <v>175.73972916414547</v>
      </c>
    </row>
    <row r="21" spans="2:24" ht="15" x14ac:dyDescent="0.2">
      <c r="B21" s="29">
        <v>2038</v>
      </c>
      <c r="C21" s="30" t="s">
        <v>124</v>
      </c>
      <c r="D21" s="31">
        <f>+'2 Producao Receitas'!I20</f>
        <v>1437.8258196081219</v>
      </c>
      <c r="E21" s="1">
        <v>0</v>
      </c>
      <c r="F21" s="1">
        <v>0</v>
      </c>
      <c r="G21" s="1">
        <f t="shared" si="0"/>
        <v>11680.749</v>
      </c>
      <c r="H21" s="170">
        <f>+INDEX('8 Parametros Avancados'!$Q$75:$Q$101,MATCH('3 Cost Recovery ProfitOil'!B21,'8 Parametros Avancados'!$I$75:$I$101,0))</f>
        <v>912.1219093432311</v>
      </c>
      <c r="I21" s="1">
        <f t="shared" si="1"/>
        <v>912.1219093432311</v>
      </c>
      <c r="J21" s="1">
        <f>+I21*'8 Parametros Avancados'!$D$11</f>
        <v>910.29766552454464</v>
      </c>
      <c r="K21" s="1">
        <f t="shared" si="2"/>
        <v>3630.7698694281789</v>
      </c>
      <c r="L21" s="1">
        <f>D21*'8 Parametros Avancados'!$F$10</f>
        <v>1078.3693647060913</v>
      </c>
      <c r="M21" s="1">
        <f t="shared" si="6"/>
        <v>1078.3693647060913</v>
      </c>
      <c r="N21" s="1">
        <f t="shared" si="3"/>
        <v>2552.4005047220876</v>
      </c>
      <c r="O21" s="1">
        <f>MAX(0,D21-M21)</f>
        <v>359.4564549020306</v>
      </c>
      <c r="P21" s="1">
        <f>P20+T21+M21-X21-H21</f>
        <v>14054.06912179065</v>
      </c>
      <c r="Q21" s="1">
        <f>IF(G21=0,0,P20/G20)</f>
        <v>1.1778095788329899</v>
      </c>
      <c r="R21" s="32">
        <f t="shared" si="7"/>
        <v>0.25</v>
      </c>
      <c r="S21" s="5">
        <f t="shared" si="4"/>
        <v>89.86411372550765</v>
      </c>
      <c r="T21" s="1">
        <f t="shared" si="5"/>
        <v>269.59234117652295</v>
      </c>
      <c r="U21" s="1">
        <f>+'8 Parametros Avancados'!Q91</f>
        <v>912.1219093432311</v>
      </c>
      <c r="V21" s="1">
        <f t="shared" si="9"/>
        <v>435.8397965393832</v>
      </c>
      <c r="W21" s="1">
        <f t="shared" si="8"/>
        <v>0</v>
      </c>
      <c r="X21" s="1">
        <f>IF(V21&gt;0,IF(B21&lt;='8 Parametros Avancados'!$F$6+'8 Parametros Avancados'!$F$14-1,V21*'8 Parametros Avancados'!$F$12,V21*'8 Parametros Avancados'!$F$13),0)</f>
        <v>139.46873489260264</v>
      </c>
    </row>
    <row r="22" spans="2:24" ht="15" x14ac:dyDescent="0.2">
      <c r="B22" s="29">
        <v>2039</v>
      </c>
      <c r="C22" s="30" t="s">
        <v>124</v>
      </c>
      <c r="D22" s="31">
        <f>+'2 Producao Receitas'!I21</f>
        <v>1337.1780122355535</v>
      </c>
      <c r="E22" s="1">
        <v>0</v>
      </c>
      <c r="F22" s="1">
        <v>0</v>
      </c>
      <c r="G22" s="1">
        <f t="shared" si="0"/>
        <v>11680.749</v>
      </c>
      <c r="H22" s="170">
        <f>+INDEX('8 Parametros Avancados'!$Q$75:$Q$101,MATCH('3 Cost Recovery ProfitOil'!B22,'8 Parametros Avancados'!$I$75:$I$101,0))</f>
        <v>925.34066398499408</v>
      </c>
      <c r="I22" s="1">
        <f t="shared" si="1"/>
        <v>925.34066398499408</v>
      </c>
      <c r="J22" s="1">
        <f>+I22*'8 Parametros Avancados'!$D$11</f>
        <v>923.48998265702414</v>
      </c>
      <c r="K22" s="1">
        <f t="shared" si="2"/>
        <v>3475.8904873791116</v>
      </c>
      <c r="L22" s="1">
        <f>D22*'8 Parametros Avancados'!$F$10</f>
        <v>1002.8835091766651</v>
      </c>
      <c r="M22" s="1">
        <f t="shared" si="6"/>
        <v>1002.8835091766651</v>
      </c>
      <c r="N22" s="1">
        <f t="shared" si="3"/>
        <v>2473.0069782024466</v>
      </c>
      <c r="O22" s="1">
        <f>MAX(0,D22-M22)</f>
        <v>334.29450305888838</v>
      </c>
      <c r="P22" s="1">
        <f>P21+T22+M22-X22-H22</f>
        <v>14277.288453081019</v>
      </c>
      <c r="Q22" s="1">
        <f>IF(G22=0,0,P21/G21)</f>
        <v>1.2031821865011096</v>
      </c>
      <c r="R22" s="32">
        <f t="shared" si="7"/>
        <v>0.25</v>
      </c>
      <c r="S22" s="5">
        <f t="shared" si="4"/>
        <v>83.573625764722095</v>
      </c>
      <c r="T22" s="1">
        <f t="shared" si="5"/>
        <v>250.72087729416629</v>
      </c>
      <c r="U22" s="1">
        <f>+'8 Parametros Avancados'!Q92</f>
        <v>925.34066398499408</v>
      </c>
      <c r="V22" s="1">
        <f t="shared" si="9"/>
        <v>328.26372248583743</v>
      </c>
      <c r="W22" s="1">
        <f t="shared" si="8"/>
        <v>0</v>
      </c>
      <c r="X22" s="1">
        <f>IF(V22&gt;0,IF(B22&lt;='8 Parametros Avancados'!$F$6+'8 Parametros Avancados'!$F$14-1,V22*'8 Parametros Avancados'!$F$12,V22*'8 Parametros Avancados'!$F$13),0)</f>
        <v>105.04439119546798</v>
      </c>
    </row>
    <row r="23" spans="2:24" ht="15" x14ac:dyDescent="0.2">
      <c r="B23" s="29">
        <v>2040</v>
      </c>
      <c r="C23" s="30" t="s">
        <v>124</v>
      </c>
      <c r="D23" s="31">
        <f>+'2 Producao Receitas'!I22</f>
        <v>1243.5755513790648</v>
      </c>
      <c r="E23" s="1">
        <v>0</v>
      </c>
      <c r="F23" s="1">
        <v>0</v>
      </c>
      <c r="G23" s="1">
        <f t="shared" si="0"/>
        <v>11680.749</v>
      </c>
      <c r="H23" s="170">
        <f>+INDEX('8 Parametros Avancados'!$Q$75:$Q$101,MATCH('3 Cost Recovery ProfitOil'!B23,'8 Parametros Avancados'!$I$75:$I$101,0))</f>
        <v>939.89985010776411</v>
      </c>
      <c r="I23" s="1">
        <f t="shared" si="1"/>
        <v>939.89985010776411</v>
      </c>
      <c r="J23" s="1">
        <f>+I23*'8 Parametros Avancados'!$D$11</f>
        <v>938.02005040754852</v>
      </c>
      <c r="K23" s="1">
        <f t="shared" si="2"/>
        <v>3411.0270286099949</v>
      </c>
      <c r="L23" s="1">
        <f>D23*'8 Parametros Avancados'!$F$10</f>
        <v>932.68166353429865</v>
      </c>
      <c r="M23" s="1">
        <f t="shared" si="6"/>
        <v>932.68166353429865</v>
      </c>
      <c r="N23" s="1">
        <f t="shared" si="3"/>
        <v>2478.3453650756965</v>
      </c>
      <c r="O23" s="1">
        <f>MAX(0,D23-M23)</f>
        <v>310.89388784476614</v>
      </c>
      <c r="P23" s="1">
        <f>P22+T23+M23-X23-H23</f>
        <v>14430.935969011893</v>
      </c>
      <c r="Q23" s="1">
        <f>IF(G23=0,0,P22/G22)</f>
        <v>1.222292205155767</v>
      </c>
      <c r="R23" s="32">
        <f t="shared" si="7"/>
        <v>0.25</v>
      </c>
      <c r="S23" s="5">
        <f t="shared" si="4"/>
        <v>77.723471961191535</v>
      </c>
      <c r="T23" s="1">
        <f t="shared" si="5"/>
        <v>233.17041588357461</v>
      </c>
      <c r="U23" s="1">
        <f>+'8 Parametros Avancados'!Q93</f>
        <v>939.89985010776411</v>
      </c>
      <c r="V23" s="1">
        <f t="shared" si="9"/>
        <v>225.95222931010915</v>
      </c>
      <c r="W23" s="1">
        <f t="shared" si="8"/>
        <v>0</v>
      </c>
      <c r="X23" s="1">
        <f>IF(V23&gt;0,IF(B23&lt;='8 Parametros Avancados'!$F$6+'8 Parametros Avancados'!$F$14-1,V23*'8 Parametros Avancados'!$F$12,V23*'8 Parametros Avancados'!$F$13),0)</f>
        <v>72.304713379234926</v>
      </c>
    </row>
    <row r="24" spans="2:24" ht="15" x14ac:dyDescent="0.2">
      <c r="B24" s="29">
        <v>2041</v>
      </c>
      <c r="C24" s="30" t="s">
        <v>124</v>
      </c>
      <c r="D24" s="31">
        <f>+'2 Producao Receitas'!I23</f>
        <v>1156.52526278253</v>
      </c>
      <c r="E24" s="1">
        <v>0</v>
      </c>
      <c r="F24" s="1">
        <v>0</v>
      </c>
      <c r="G24" s="1">
        <f t="shared" si="0"/>
        <v>11680.749</v>
      </c>
      <c r="H24" s="170">
        <f>+INDEX('8 Parametros Avancados'!$Q$75:$Q$101,MATCH('3 Cost Recovery ProfitOil'!B24,'8 Parametros Avancados'!$I$75:$I$101,0))</f>
        <v>955.81039483095367</v>
      </c>
      <c r="I24" s="1">
        <f t="shared" si="1"/>
        <v>955.81039483095367</v>
      </c>
      <c r="J24" s="1">
        <f>+I24*'8 Parametros Avancados'!$D$11</f>
        <v>953.89877404129174</v>
      </c>
      <c r="K24" s="1">
        <f t="shared" si="2"/>
        <v>3432.2441391169882</v>
      </c>
      <c r="L24" s="1">
        <f>D24*'8 Parametros Avancados'!$F$10</f>
        <v>867.39394708689747</v>
      </c>
      <c r="M24" s="1">
        <f t="shared" si="6"/>
        <v>867.39394708689747</v>
      </c>
      <c r="N24" s="1">
        <f t="shared" si="3"/>
        <v>2564.8501920300905</v>
      </c>
      <c r="O24" s="1">
        <f>MAX(0,D24-M24)</f>
        <v>289.13131569563257</v>
      </c>
      <c r="P24" s="1">
        <f>P23+T24+M24-X24-H24</f>
        <v>14518.269755550707</v>
      </c>
      <c r="Q24" s="1">
        <f>IF(G24=0,0,P23/G23)</f>
        <v>1.2354461147150659</v>
      </c>
      <c r="R24" s="32">
        <f t="shared" si="7"/>
        <v>0.25</v>
      </c>
      <c r="S24" s="5">
        <f t="shared" si="4"/>
        <v>72.282828923908141</v>
      </c>
      <c r="T24" s="1">
        <f t="shared" si="5"/>
        <v>216.84848677172442</v>
      </c>
      <c r="U24" s="1">
        <f>+'8 Parametros Avancados'!Q94</f>
        <v>955.81039483095367</v>
      </c>
      <c r="V24" s="1">
        <f t="shared" si="9"/>
        <v>128.43203902766834</v>
      </c>
      <c r="W24" s="1">
        <f t="shared" si="8"/>
        <v>0</v>
      </c>
      <c r="X24" s="1">
        <f>IF(V24&gt;0,IF(B24&lt;='8 Parametros Avancados'!$F$6+'8 Parametros Avancados'!$F$14-1,V24*'8 Parametros Avancados'!$F$12,V24*'8 Parametros Avancados'!$F$13),0)</f>
        <v>41.098252488853866</v>
      </c>
    </row>
    <row r="25" spans="2:24" ht="15" x14ac:dyDescent="0.2">
      <c r="B25" s="29">
        <v>2042</v>
      </c>
      <c r="C25" s="30" t="s">
        <v>124</v>
      </c>
      <c r="D25" s="31">
        <f>+'2 Producao Receitas'!I24</f>
        <v>1075.5684943877527</v>
      </c>
      <c r="E25" s="1">
        <v>0</v>
      </c>
      <c r="F25" s="1">
        <v>0</v>
      </c>
      <c r="G25" s="1">
        <f t="shared" si="0"/>
        <v>11680.749</v>
      </c>
      <c r="H25" s="170">
        <f>+INDEX('8 Parametros Avancados'!$Q$75:$Q$101,MATCH('3 Cost Recovery ProfitOil'!B25,'8 Parametros Avancados'!$I$75:$I$101,0))</f>
        <v>973.08509955238708</v>
      </c>
      <c r="I25" s="1">
        <f t="shared" si="1"/>
        <v>973.08509955238708</v>
      </c>
      <c r="J25" s="1">
        <f>+I25*'8 Parametros Avancados'!$D$11</f>
        <v>971.13892935328226</v>
      </c>
      <c r="K25" s="1">
        <f t="shared" si="2"/>
        <v>3535.9891213833725</v>
      </c>
      <c r="L25" s="1">
        <f>D25*'8 Parametros Avancados'!$F$10</f>
        <v>806.67637079081453</v>
      </c>
      <c r="M25" s="1">
        <f t="shared" si="6"/>
        <v>806.67637079081453</v>
      </c>
      <c r="N25" s="1">
        <f t="shared" si="3"/>
        <v>2729.3127505925581</v>
      </c>
      <c r="O25" s="1">
        <f>MAX(0,D25-M25)</f>
        <v>268.89212359693818</v>
      </c>
      <c r="P25" s="1">
        <f>P24+T25+M25-X25-H25</f>
        <v>14542.246803027278</v>
      </c>
      <c r="Q25" s="1">
        <f>IF(G25=0,0,P24/G24)</f>
        <v>1.2429228430086725</v>
      </c>
      <c r="R25" s="32">
        <f t="shared" si="7"/>
        <v>0.25</v>
      </c>
      <c r="S25" s="5">
        <f t="shared" si="4"/>
        <v>67.223030899234544</v>
      </c>
      <c r="T25" s="1">
        <f t="shared" si="5"/>
        <v>201.66909269770363</v>
      </c>
      <c r="U25" s="1">
        <f>+'8 Parametros Avancados'!Q95</f>
        <v>973.08509955238708</v>
      </c>
      <c r="V25" s="1">
        <f t="shared" si="9"/>
        <v>35.260363936131057</v>
      </c>
      <c r="W25" s="1">
        <f t="shared" si="8"/>
        <v>0</v>
      </c>
      <c r="X25" s="1">
        <f>IF(V25&gt;0,IF(B25&lt;='8 Parametros Avancados'!$F$6+'8 Parametros Avancados'!$F$14-1,V25*'8 Parametros Avancados'!$F$12,V25*'8 Parametros Avancados'!$F$13),0)</f>
        <v>11.283316459561938</v>
      </c>
    </row>
    <row r="26" spans="2:24" ht="15" x14ac:dyDescent="0.2">
      <c r="B26" s="29">
        <v>2043</v>
      </c>
      <c r="C26" s="30" t="s">
        <v>124</v>
      </c>
      <c r="D26" s="31">
        <f>+'2 Producao Receitas'!I25</f>
        <v>1000.2786997806101</v>
      </c>
      <c r="E26" s="1">
        <v>0</v>
      </c>
      <c r="F26" s="1">
        <v>0</v>
      </c>
      <c r="G26" s="1">
        <f t="shared" si="0"/>
        <v>11680.749</v>
      </c>
      <c r="H26" s="170">
        <f>+INDEX('8 Parametros Avancados'!$Q$75:$Q$101,MATCH('3 Cost Recovery ProfitOil'!B26,'8 Parametros Avancados'!$I$75:$I$101,0))</f>
        <v>991.73864047643315</v>
      </c>
      <c r="I26" s="1">
        <f t="shared" si="1"/>
        <v>991.73864047643315</v>
      </c>
      <c r="J26" s="1">
        <f>+I26*'8 Parametros Avancados'!$D$11</f>
        <v>989.75516319548024</v>
      </c>
      <c r="K26" s="1">
        <f t="shared" si="2"/>
        <v>3719.0679137880384</v>
      </c>
      <c r="L26" s="1">
        <f>D26*'8 Parametros Avancados'!$F$10</f>
        <v>750.20902483545751</v>
      </c>
      <c r="M26" s="1">
        <f t="shared" si="6"/>
        <v>750.20902483545751</v>
      </c>
      <c r="N26" s="1">
        <f t="shared" si="3"/>
        <v>2968.8588889525809</v>
      </c>
      <c r="O26" s="1">
        <f>MAX(0,D26-M26)</f>
        <v>250.06967494515254</v>
      </c>
      <c r="P26" s="1">
        <f>P25+T26+M26-X26-H26</f>
        <v>14488.269443595167</v>
      </c>
      <c r="Q26" s="1">
        <f>IF(G26=0,0,P25/G25)</f>
        <v>1.2449755407831533</v>
      </c>
      <c r="R26" s="32">
        <f t="shared" si="7"/>
        <v>0.25</v>
      </c>
      <c r="S26" s="5">
        <f t="shared" si="4"/>
        <v>62.517418736288136</v>
      </c>
      <c r="T26" s="1">
        <f t="shared" si="5"/>
        <v>187.55225620886441</v>
      </c>
      <c r="U26" s="1">
        <f>+'8 Parametros Avancados'!Q96</f>
        <v>991.73864047643315</v>
      </c>
      <c r="V26" s="1">
        <f t="shared" si="9"/>
        <v>0</v>
      </c>
      <c r="W26" s="1">
        <f t="shared" si="8"/>
        <v>-53.977359432111257</v>
      </c>
      <c r="X26" s="1">
        <f>IF(V26&gt;0,IF(B26&lt;='8 Parametros Avancados'!$F$6+'8 Parametros Avancados'!$F$14-1,V26*'8 Parametros Avancados'!$F$12,V26*'8 Parametros Avancados'!$F$13),0)</f>
        <v>0</v>
      </c>
    </row>
    <row r="27" spans="2:24" ht="15" x14ac:dyDescent="0.2">
      <c r="B27" s="29">
        <v>2044</v>
      </c>
      <c r="C27" s="30" t="s">
        <v>124</v>
      </c>
      <c r="D27" s="31">
        <f>+'2 Producao Receitas'!I26</f>
        <v>930.25919079596736</v>
      </c>
      <c r="E27" s="1">
        <v>0</v>
      </c>
      <c r="F27" s="1">
        <v>0</v>
      </c>
      <c r="G27" s="1">
        <f t="shared" si="0"/>
        <v>11680.749</v>
      </c>
      <c r="H27" s="170">
        <f>+INDEX('8 Parametros Avancados'!$Q$75:$Q$101,MATCH('3 Cost Recovery ProfitOil'!B27,'8 Parametros Avancados'!$I$75:$I$101,0))</f>
        <v>1011.7875717851347</v>
      </c>
      <c r="I27" s="1">
        <f t="shared" si="1"/>
        <v>1011.7875717851347</v>
      </c>
      <c r="J27" s="1">
        <f>+I27*'8 Parametros Avancados'!$D$11</f>
        <v>1009.7639966415644</v>
      </c>
      <c r="K27" s="1">
        <f t="shared" si="2"/>
        <v>3978.6228855941454</v>
      </c>
      <c r="L27" s="1">
        <f>D27*'8 Parametros Avancados'!$F$10</f>
        <v>697.69439309697555</v>
      </c>
      <c r="M27" s="1">
        <f t="shared" si="6"/>
        <v>697.69439309697555</v>
      </c>
      <c r="N27" s="1">
        <f t="shared" si="3"/>
        <v>3280.9284924971698</v>
      </c>
      <c r="O27" s="1">
        <f>MAX(0,D27-M27)</f>
        <v>232.56479769899181</v>
      </c>
      <c r="P27" s="1">
        <f>P26+T27+M27-X27-H27</f>
        <v>14348.599863181251</v>
      </c>
      <c r="Q27" s="1">
        <f>IF(G27=0,0,P26/G26)</f>
        <v>1.2403544878496378</v>
      </c>
      <c r="R27" s="32">
        <f t="shared" si="7"/>
        <v>0.25</v>
      </c>
      <c r="S27" s="5">
        <f t="shared" si="4"/>
        <v>58.141199424747953</v>
      </c>
      <c r="T27" s="1">
        <f t="shared" si="5"/>
        <v>174.42359827424386</v>
      </c>
      <c r="U27" s="1">
        <f>+'8 Parametros Avancados'!Q97</f>
        <v>1011.7875717851347</v>
      </c>
      <c r="V27" s="1">
        <f t="shared" si="9"/>
        <v>0</v>
      </c>
      <c r="W27" s="1">
        <f t="shared" si="8"/>
        <v>-193.6469398460265</v>
      </c>
      <c r="X27" s="1">
        <f>IF(V27&gt;0,IF(B27&lt;='8 Parametros Avancados'!$F$6+'8 Parametros Avancados'!$F$14-1,V27*'8 Parametros Avancados'!$F$12,V27*'8 Parametros Avancados'!$F$13),0)</f>
        <v>0</v>
      </c>
    </row>
    <row r="28" spans="2:24" ht="15" x14ac:dyDescent="0.2">
      <c r="B28" s="29">
        <v>2045</v>
      </c>
      <c r="C28" s="30" t="s">
        <v>124</v>
      </c>
      <c r="D28" s="31">
        <f>+'2 Producao Receitas'!I27</f>
        <v>865.14104744024939</v>
      </c>
      <c r="E28" s="1">
        <v>0</v>
      </c>
      <c r="F28" s="1">
        <v>0</v>
      </c>
      <c r="G28" s="1">
        <f t="shared" si="0"/>
        <v>11680.749</v>
      </c>
      <c r="H28" s="170">
        <f>+INDEX('8 Parametros Avancados'!$Q$75:$Q$101,MATCH('3 Cost Recovery ProfitOil'!B28,'8 Parametros Avancados'!$I$75:$I$101,0))</f>
        <v>1033.2503314294981</v>
      </c>
      <c r="I28" s="1">
        <f t="shared" si="1"/>
        <v>1033.2503314294981</v>
      </c>
      <c r="J28" s="1">
        <f>+I28*'8 Parametros Avancados'!$D$11</f>
        <v>1031.1838307666392</v>
      </c>
      <c r="K28" s="1">
        <f t="shared" si="2"/>
        <v>4312.1123232638092</v>
      </c>
      <c r="L28" s="1">
        <f>D28*'8 Parametros Avancados'!$F$10</f>
        <v>648.8557855801871</v>
      </c>
      <c r="M28" s="1">
        <f t="shared" si="6"/>
        <v>648.8557855801871</v>
      </c>
      <c r="N28" s="1">
        <f t="shared" si="3"/>
        <v>3663.2565376836219</v>
      </c>
      <c r="O28" s="1">
        <f>MAX(0,D28-M28)</f>
        <v>216.28526186006229</v>
      </c>
      <c r="P28" s="1">
        <f>P27+T28+M28-X28-H28</f>
        <v>14126.419263726984</v>
      </c>
      <c r="Q28" s="1">
        <f>IF(G28=0,0,P27/G27)</f>
        <v>1.2283972426067242</v>
      </c>
      <c r="R28" s="32">
        <f t="shared" si="7"/>
        <v>0.25</v>
      </c>
      <c r="S28" s="5">
        <f t="shared" si="4"/>
        <v>54.071315465015573</v>
      </c>
      <c r="T28" s="1">
        <f t="shared" si="5"/>
        <v>162.21394639504672</v>
      </c>
      <c r="U28" s="1">
        <f>+'8 Parametros Avancados'!Q98</f>
        <v>1033.2503314294981</v>
      </c>
      <c r="V28" s="1">
        <f t="shared" si="9"/>
        <v>0</v>
      </c>
      <c r="W28" s="1">
        <f t="shared" si="8"/>
        <v>-415.82753930029082</v>
      </c>
      <c r="X28" s="1">
        <f>IF(V28&gt;0,IF(B28&lt;='8 Parametros Avancados'!$F$6+'8 Parametros Avancados'!$F$14-1,V28*'8 Parametros Avancados'!$F$12,V28*'8 Parametros Avancados'!$F$13),0)</f>
        <v>0</v>
      </c>
    </row>
    <row r="29" spans="2:24" ht="15" x14ac:dyDescent="0.2">
      <c r="B29" s="29">
        <v>2046</v>
      </c>
      <c r="C29" s="30" t="s">
        <v>124</v>
      </c>
      <c r="D29" s="31">
        <f>+'2 Producao Receitas'!I28</f>
        <v>804.58117411943215</v>
      </c>
      <c r="E29" s="1">
        <v>0</v>
      </c>
      <c r="F29" s="1">
        <v>0</v>
      </c>
      <c r="G29" s="1">
        <f t="shared" si="0"/>
        <v>11680.749</v>
      </c>
      <c r="H29" s="170">
        <f>+INDEX('8 Parametros Avancados'!$Q$75:$Q$101,MATCH('3 Cost Recovery ProfitOil'!B29,'8 Parametros Avancados'!$I$75:$I$101,0))</f>
        <v>1056.1472495219516</v>
      </c>
      <c r="I29" s="1">
        <f t="shared" si="1"/>
        <v>1056.1472495219516</v>
      </c>
      <c r="J29" s="1">
        <f>+I29*'8 Parametros Avancados'!$D$11</f>
        <v>1054.0349550229078</v>
      </c>
      <c r="K29" s="1">
        <f t="shared" si="2"/>
        <v>4717.2914927065294</v>
      </c>
      <c r="L29" s="1">
        <f>D29*'8 Parametros Avancados'!$F$10</f>
        <v>603.43588058957414</v>
      </c>
      <c r="M29" s="1">
        <f t="shared" si="6"/>
        <v>603.43588058957414</v>
      </c>
      <c r="N29" s="1">
        <f t="shared" si="3"/>
        <v>4113.8556121169549</v>
      </c>
      <c r="O29" s="1">
        <f>MAX(0,D29-M29)</f>
        <v>201.14529352985801</v>
      </c>
      <c r="P29" s="1">
        <f>P28+T29+M29-X29-H29</f>
        <v>13824.566864942</v>
      </c>
      <c r="Q29" s="1">
        <f>IF(G29=0,0,P28/G28)</f>
        <v>1.2093761507696967</v>
      </c>
      <c r="R29" s="32">
        <f t="shared" si="7"/>
        <v>0.25</v>
      </c>
      <c r="S29" s="5">
        <f t="shared" si="4"/>
        <v>50.286323382464502</v>
      </c>
      <c r="T29" s="1">
        <f t="shared" si="5"/>
        <v>150.85897014739351</v>
      </c>
      <c r="U29" s="1">
        <f>+'8 Parametros Avancados'!Q99</f>
        <v>1056.1472495219516</v>
      </c>
      <c r="V29" s="1">
        <f t="shared" si="9"/>
        <v>0</v>
      </c>
      <c r="W29" s="1">
        <f t="shared" si="8"/>
        <v>-717.67993808527478</v>
      </c>
      <c r="X29" s="1">
        <f>IF(V29&gt;0,IF(B29&lt;='8 Parametros Avancados'!$F$6+'8 Parametros Avancados'!$F$14-1,V29*'8 Parametros Avancados'!$F$12,V29*'8 Parametros Avancados'!$F$13),0)</f>
        <v>0</v>
      </c>
    </row>
    <row r="30" spans="2:24" ht="15" x14ac:dyDescent="0.2">
      <c r="B30" s="29">
        <v>2047</v>
      </c>
      <c r="C30" s="30" t="s">
        <v>124</v>
      </c>
      <c r="D30" s="31">
        <f>+'2 Producao Receitas'!I29</f>
        <v>748.26049193107178</v>
      </c>
      <c r="E30" s="1">
        <v>0</v>
      </c>
      <c r="F30" s="1">
        <v>0</v>
      </c>
      <c r="G30" s="1">
        <f t="shared" si="0"/>
        <v>11680.749</v>
      </c>
      <c r="H30" s="170">
        <f>+INDEX('8 Parametros Avancados'!$Q$75:$Q$101,MATCH('3 Cost Recovery ProfitOil'!B30,'8 Parametros Avancados'!$I$75:$I$101,0))</f>
        <v>1080.500559314803</v>
      </c>
      <c r="I30" s="1">
        <f t="shared" si="1"/>
        <v>1080.500559314803</v>
      </c>
      <c r="J30" s="1">
        <f>+I30*'8 Parametros Avancados'!$D$11</f>
        <v>1078.3395581961734</v>
      </c>
      <c r="K30" s="1">
        <f t="shared" si="2"/>
        <v>5192.1951703131281</v>
      </c>
      <c r="L30" s="1">
        <f>D30*'8 Parametros Avancados'!$F$10</f>
        <v>561.19536894830389</v>
      </c>
      <c r="M30" s="1">
        <f t="shared" si="6"/>
        <v>561.19536894830389</v>
      </c>
      <c r="N30" s="1">
        <f t="shared" si="3"/>
        <v>4630.9998013648237</v>
      </c>
      <c r="O30" s="1">
        <f>MAX(0,D30-M30)</f>
        <v>187.06512298276789</v>
      </c>
      <c r="P30" s="1">
        <f>P29+T30+M30-X30-H30</f>
        <v>13445.560516812577</v>
      </c>
      <c r="Q30" s="1">
        <f>IF(G30=0,0,P29/G29)</f>
        <v>1.1835342806306344</v>
      </c>
      <c r="R30" s="32">
        <f t="shared" si="7"/>
        <v>0.25</v>
      </c>
      <c r="S30" s="5">
        <f t="shared" si="4"/>
        <v>46.766280745691972</v>
      </c>
      <c r="T30" s="1">
        <f t="shared" si="5"/>
        <v>140.29884223707592</v>
      </c>
      <c r="U30" s="1">
        <f>+'8 Parametros Avancados'!Q100</f>
        <v>1080.500559314803</v>
      </c>
      <c r="V30" s="1">
        <f t="shared" si="9"/>
        <v>0</v>
      </c>
      <c r="W30" s="1">
        <f t="shared" si="8"/>
        <v>-1096.6862862146982</v>
      </c>
      <c r="X30" s="1">
        <f>IF(V30&gt;0,IF(B30&lt;='8 Parametros Avancados'!$F$6+'8 Parametros Avancados'!$F$14-1,V30*'8 Parametros Avancados'!$F$12,V30*'8 Parametros Avancados'!$F$13),0)</f>
        <v>0</v>
      </c>
    </row>
    <row r="31" spans="2:24" ht="15" x14ac:dyDescent="0.2">
      <c r="B31" s="29">
        <v>2048</v>
      </c>
      <c r="C31" s="30" t="s">
        <v>124</v>
      </c>
      <c r="D31" s="31">
        <f>+'2 Producao Receitas'!I30</f>
        <v>695.88225749589662</v>
      </c>
      <c r="E31" s="1">
        <v>0</v>
      </c>
      <c r="F31" s="1">
        <v>0</v>
      </c>
      <c r="G31" s="1">
        <f t="shared" si="0"/>
        <v>11680.749</v>
      </c>
      <c r="H31" s="170">
        <f>+INDEX('8 Parametros Avancados'!$Q$75:$Q$101,MATCH('3 Cost Recovery ProfitOil'!B31,'8 Parametros Avancados'!$I$75:$I$101,0))</f>
        <v>1106.3344107532498</v>
      </c>
      <c r="I31" s="1">
        <f t="shared" si="1"/>
        <v>1106.3344107532498</v>
      </c>
      <c r="J31" s="1">
        <f>+I31*'8 Parametros Avancados'!$D$11</f>
        <v>1104.1217419317434</v>
      </c>
      <c r="K31" s="1">
        <f t="shared" si="2"/>
        <v>5735.1215432965673</v>
      </c>
      <c r="L31" s="1">
        <f>D31*'8 Parametros Avancados'!$F$10</f>
        <v>521.91169312192244</v>
      </c>
      <c r="M31" s="1">
        <f t="shared" si="6"/>
        <v>521.91169312192244</v>
      </c>
      <c r="N31" s="1">
        <f t="shared" si="3"/>
        <v>5213.209850174645</v>
      </c>
      <c r="O31" s="1">
        <f>MAX(0,D31-M31)</f>
        <v>173.97056437397418</v>
      </c>
      <c r="P31" s="1">
        <f>P30+T31+M31-X31-H31</f>
        <v>12991.615722461731</v>
      </c>
      <c r="Q31" s="1">
        <f>IF(G31=0,0,P30/G30)</f>
        <v>1.1510871877148099</v>
      </c>
      <c r="R31" s="32">
        <f t="shared" si="7"/>
        <v>0.25</v>
      </c>
      <c r="S31" s="5">
        <f t="shared" si="4"/>
        <v>43.492641093493546</v>
      </c>
      <c r="T31" s="1">
        <f t="shared" si="5"/>
        <v>130.47792328048064</v>
      </c>
      <c r="U31" s="1">
        <f>+'8 Parametros Avancados'!Q101</f>
        <v>1106.3344107532498</v>
      </c>
      <c r="V31" s="1">
        <f t="shared" si="9"/>
        <v>0</v>
      </c>
      <c r="W31" s="1">
        <f t="shared" si="8"/>
        <v>-1550.6310805655448</v>
      </c>
      <c r="X31" s="1">
        <f>IF(V31&gt;0,IF(B31&lt;='8 Parametros Avancados'!$F$6+'8 Parametros Avancados'!$F$14-1,V31*'8 Parametros Avancados'!$F$12,V31*'8 Parametros Avancados'!$F$13),0)</f>
        <v>0</v>
      </c>
    </row>
    <row r="32" spans="2:24" x14ac:dyDescent="0.2">
      <c r="B32" s="236" t="s">
        <v>32</v>
      </c>
      <c r="C32" s="236"/>
      <c r="D32" s="33">
        <f>SUM(D4:D31)</f>
        <v>39173.687759011635</v>
      </c>
      <c r="E32" s="33">
        <f t="shared" ref="E32:F32" si="10">SUM(E4:E31)</f>
        <v>2173.5340000000001</v>
      </c>
      <c r="F32" s="33">
        <f>SUM(F4:F31)</f>
        <v>9507.2149999999983</v>
      </c>
      <c r="G32" s="10"/>
      <c r="H32" s="33">
        <f>SUM(H5:H31)</f>
        <v>22960.656959352087</v>
      </c>
      <c r="I32" s="33">
        <f>SUM(I4:I31)</f>
        <v>34641.405959352087</v>
      </c>
      <c r="J32" s="33">
        <f>SUM(J4:J31)</f>
        <v>34572.123147433384</v>
      </c>
      <c r="K32" s="10"/>
      <c r="L32" s="33">
        <f>SUM(L4:L31)</f>
        <v>29380.265819258733</v>
      </c>
      <c r="M32" s="33">
        <f>SUM(M4:M31)</f>
        <v>29380.265819258733</v>
      </c>
      <c r="N32" s="10"/>
      <c r="O32" s="33">
        <f>SUM(O5:O31)</f>
        <v>9793.4219397529068</v>
      </c>
      <c r="P32" s="10"/>
      <c r="Q32" s="10"/>
      <c r="R32" s="10"/>
      <c r="S32" s="33">
        <f>SUM(S5:S31)</f>
        <v>1874.827875773228</v>
      </c>
      <c r="T32" s="33">
        <f>SUM(T5:T31)</f>
        <v>7918.5940639796818</v>
      </c>
      <c r="U32" s="33">
        <f>SUM(U5:U31)</f>
        <v>34641.405959352087</v>
      </c>
      <c r="V32" s="33">
        <f>SUM(V5:V31)</f>
        <v>4208.0850044518756</v>
      </c>
      <c r="W32" s="10"/>
      <c r="X32" s="33">
        <f>SUM(X4:X31)</f>
        <v>1346.5872014246004</v>
      </c>
    </row>
    <row r="33" spans="2:14" s="10" customFormat="1" x14ac:dyDescent="0.2">
      <c r="N33" s="382"/>
    </row>
    <row r="34" spans="2:14" s="10" customFormat="1" ht="81" customHeight="1" x14ac:dyDescent="0.2">
      <c r="B34" s="258" t="s">
        <v>551</v>
      </c>
      <c r="C34" s="258"/>
      <c r="D34" s="258"/>
      <c r="E34" s="258"/>
      <c r="F34" s="258"/>
      <c r="G34" s="258"/>
      <c r="H34" s="258"/>
    </row>
    <row r="35" spans="2:14" s="10" customFormat="1" x14ac:dyDescent="0.2"/>
    <row r="36" spans="2:14" s="10" customFormat="1" x14ac:dyDescent="0.2"/>
    <row r="37" spans="2:14" s="10" customFormat="1" x14ac:dyDescent="0.2"/>
    <row r="38" spans="2:14" s="10" customFormat="1" x14ac:dyDescent="0.2"/>
    <row r="39" spans="2:14" s="10" customFormat="1" x14ac:dyDescent="0.2">
      <c r="F39" s="172"/>
    </row>
    <row r="40" spans="2:14" s="10" customFormat="1" x14ac:dyDescent="0.2"/>
    <row r="41" spans="2:14" s="10" customFormat="1" x14ac:dyDescent="0.2"/>
    <row r="42" spans="2:14" s="10" customFormat="1" x14ac:dyDescent="0.2"/>
    <row r="43" spans="2:14" s="10" customFormat="1" x14ac:dyDescent="0.2"/>
    <row r="44" spans="2:14" s="10" customFormat="1" x14ac:dyDescent="0.2"/>
    <row r="45" spans="2:14" s="10" customFormat="1" x14ac:dyDescent="0.2"/>
    <row r="46" spans="2:14" s="10" customFormat="1" x14ac:dyDescent="0.2"/>
    <row r="47" spans="2:14" s="10" customFormat="1" x14ac:dyDescent="0.2"/>
    <row r="48" spans="2:14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  <row r="644" s="10" customFormat="1" x14ac:dyDescent="0.2"/>
    <row r="645" s="10" customFormat="1" x14ac:dyDescent="0.2"/>
    <row r="646" s="10" customFormat="1" x14ac:dyDescent="0.2"/>
    <row r="647" s="10" customFormat="1" x14ac:dyDescent="0.2"/>
    <row r="648" s="10" customFormat="1" x14ac:dyDescent="0.2"/>
    <row r="649" s="10" customFormat="1" x14ac:dyDescent="0.2"/>
    <row r="650" s="10" customFormat="1" x14ac:dyDescent="0.2"/>
    <row r="651" s="10" customFormat="1" x14ac:dyDescent="0.2"/>
    <row r="652" s="10" customFormat="1" x14ac:dyDescent="0.2"/>
    <row r="653" s="10" customFormat="1" x14ac:dyDescent="0.2"/>
    <row r="654" s="10" customFormat="1" x14ac:dyDescent="0.2"/>
    <row r="655" s="10" customFormat="1" x14ac:dyDescent="0.2"/>
    <row r="656" s="10" customFormat="1" x14ac:dyDescent="0.2"/>
    <row r="657" s="10" customFormat="1" x14ac:dyDescent="0.2"/>
    <row r="658" s="10" customFormat="1" x14ac:dyDescent="0.2"/>
    <row r="659" s="10" customFormat="1" x14ac:dyDescent="0.2"/>
    <row r="660" s="10" customFormat="1" x14ac:dyDescent="0.2"/>
    <row r="661" s="10" customFormat="1" x14ac:dyDescent="0.2"/>
    <row r="662" s="10" customFormat="1" x14ac:dyDescent="0.2"/>
    <row r="663" s="10" customFormat="1" x14ac:dyDescent="0.2"/>
    <row r="664" s="10" customFormat="1" x14ac:dyDescent="0.2"/>
    <row r="665" s="10" customFormat="1" x14ac:dyDescent="0.2"/>
    <row r="666" s="10" customFormat="1" x14ac:dyDescent="0.2"/>
    <row r="667" s="10" customFormat="1" x14ac:dyDescent="0.2"/>
    <row r="668" s="10" customFormat="1" x14ac:dyDescent="0.2"/>
    <row r="669" s="10" customFormat="1" x14ac:dyDescent="0.2"/>
    <row r="670" s="10" customFormat="1" x14ac:dyDescent="0.2"/>
    <row r="671" s="10" customFormat="1" x14ac:dyDescent="0.2"/>
    <row r="672" s="10" customFormat="1" x14ac:dyDescent="0.2"/>
    <row r="673" s="10" customFormat="1" x14ac:dyDescent="0.2"/>
    <row r="674" s="10" customFormat="1" x14ac:dyDescent="0.2"/>
    <row r="675" s="10" customFormat="1" x14ac:dyDescent="0.2"/>
    <row r="676" s="10" customFormat="1" x14ac:dyDescent="0.2"/>
    <row r="677" s="10" customFormat="1" x14ac:dyDescent="0.2"/>
    <row r="678" s="10" customFormat="1" x14ac:dyDescent="0.2"/>
    <row r="679" s="10" customFormat="1" x14ac:dyDescent="0.2"/>
    <row r="680" s="10" customFormat="1" x14ac:dyDescent="0.2"/>
    <row r="681" s="10" customFormat="1" x14ac:dyDescent="0.2"/>
    <row r="682" s="10" customFormat="1" x14ac:dyDescent="0.2"/>
    <row r="683" s="10" customFormat="1" x14ac:dyDescent="0.2"/>
    <row r="684" s="10" customFormat="1" x14ac:dyDescent="0.2"/>
    <row r="685" s="10" customFormat="1" x14ac:dyDescent="0.2"/>
    <row r="686" s="10" customFormat="1" x14ac:dyDescent="0.2"/>
    <row r="687" s="10" customFormat="1" x14ac:dyDescent="0.2"/>
    <row r="688" s="10" customFormat="1" x14ac:dyDescent="0.2"/>
    <row r="689" s="10" customFormat="1" x14ac:dyDescent="0.2"/>
    <row r="690" s="10" customFormat="1" x14ac:dyDescent="0.2"/>
    <row r="691" s="10" customFormat="1" x14ac:dyDescent="0.2"/>
    <row r="692" s="10" customFormat="1" x14ac:dyDescent="0.2"/>
    <row r="693" s="10" customFormat="1" x14ac:dyDescent="0.2"/>
    <row r="694" s="10" customFormat="1" x14ac:dyDescent="0.2"/>
    <row r="695" s="10" customFormat="1" x14ac:dyDescent="0.2"/>
    <row r="696" s="10" customFormat="1" x14ac:dyDescent="0.2"/>
    <row r="697" s="10" customFormat="1" x14ac:dyDescent="0.2"/>
    <row r="698" s="10" customFormat="1" x14ac:dyDescent="0.2"/>
    <row r="699" s="10" customFormat="1" x14ac:dyDescent="0.2"/>
    <row r="700" s="10" customFormat="1" x14ac:dyDescent="0.2"/>
    <row r="701" s="10" customFormat="1" x14ac:dyDescent="0.2"/>
    <row r="702" s="10" customFormat="1" x14ac:dyDescent="0.2"/>
    <row r="703" s="10" customFormat="1" x14ac:dyDescent="0.2"/>
    <row r="704" s="10" customFormat="1" x14ac:dyDescent="0.2"/>
    <row r="705" s="10" customFormat="1" x14ac:dyDescent="0.2"/>
    <row r="706" s="10" customFormat="1" x14ac:dyDescent="0.2"/>
    <row r="707" s="10" customFormat="1" x14ac:dyDescent="0.2"/>
    <row r="708" s="10" customFormat="1" x14ac:dyDescent="0.2"/>
    <row r="709" s="10" customFormat="1" x14ac:dyDescent="0.2"/>
    <row r="710" s="10" customFormat="1" x14ac:dyDescent="0.2"/>
    <row r="711" s="10" customFormat="1" x14ac:dyDescent="0.2"/>
    <row r="712" s="10" customFormat="1" x14ac:dyDescent="0.2"/>
    <row r="713" s="10" customFormat="1" x14ac:dyDescent="0.2"/>
    <row r="714" s="10" customFormat="1" x14ac:dyDescent="0.2"/>
    <row r="715" s="10" customFormat="1" x14ac:dyDescent="0.2"/>
    <row r="716" s="10" customFormat="1" x14ac:dyDescent="0.2"/>
    <row r="717" s="10" customFormat="1" x14ac:dyDescent="0.2"/>
    <row r="718" s="10" customFormat="1" x14ac:dyDescent="0.2"/>
    <row r="719" s="10" customFormat="1" x14ac:dyDescent="0.2"/>
    <row r="720" s="10" customFormat="1" x14ac:dyDescent="0.2"/>
    <row r="721" s="10" customFormat="1" x14ac:dyDescent="0.2"/>
    <row r="722" s="10" customFormat="1" x14ac:dyDescent="0.2"/>
    <row r="723" s="10" customFormat="1" x14ac:dyDescent="0.2"/>
    <row r="724" s="10" customFormat="1" x14ac:dyDescent="0.2"/>
    <row r="725" s="10" customFormat="1" x14ac:dyDescent="0.2"/>
    <row r="726" s="10" customFormat="1" x14ac:dyDescent="0.2"/>
    <row r="727" s="10" customFormat="1" x14ac:dyDescent="0.2"/>
    <row r="728" s="10" customFormat="1" x14ac:dyDescent="0.2"/>
    <row r="729" s="10" customFormat="1" x14ac:dyDescent="0.2"/>
    <row r="730" s="10" customFormat="1" x14ac:dyDescent="0.2"/>
    <row r="731" s="10" customFormat="1" x14ac:dyDescent="0.2"/>
    <row r="732" s="10" customFormat="1" x14ac:dyDescent="0.2"/>
    <row r="733" s="10" customFormat="1" x14ac:dyDescent="0.2"/>
    <row r="734" s="10" customFormat="1" x14ac:dyDescent="0.2"/>
    <row r="735" s="10" customFormat="1" x14ac:dyDescent="0.2"/>
    <row r="736" s="10" customFormat="1" x14ac:dyDescent="0.2"/>
    <row r="737" s="10" customFormat="1" x14ac:dyDescent="0.2"/>
  </sheetData>
  <mergeCells count="3">
    <mergeCell ref="B1:X1"/>
    <mergeCell ref="B32:C32"/>
    <mergeCell ref="B34:H34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1B6CA8"/>
  </sheetPr>
  <dimension ref="A1:BO336"/>
  <sheetViews>
    <sheetView zoomScaleNormal="100" workbookViewId="0">
      <pane xSplit="2" ySplit="4" topLeftCell="C11" activePane="bottomRight" state="frozen"/>
      <selection activeCell="V18" sqref="V18"/>
      <selection pane="topRight" activeCell="V18" sqref="V18"/>
      <selection pane="bottomLeft" activeCell="V18" sqref="V18"/>
      <selection pane="bottomRight" activeCell="E30" sqref="E30"/>
    </sheetView>
  </sheetViews>
  <sheetFormatPr baseColWidth="10" defaultColWidth="24.33203125" defaultRowHeight="14" x14ac:dyDescent="0.2"/>
  <cols>
    <col min="1" max="1" width="6.33203125" style="10" customWidth="1"/>
    <col min="2" max="2" width="24.33203125" style="12"/>
    <col min="3" max="3" width="10.83203125" style="12" bestFit="1" customWidth="1"/>
    <col min="4" max="4" width="13.5" style="12" bestFit="1" customWidth="1"/>
    <col min="5" max="5" width="9.83203125" style="12" bestFit="1" customWidth="1"/>
    <col min="6" max="6" width="16" style="12" bestFit="1" customWidth="1"/>
    <col min="7" max="7" width="10" style="12" bestFit="1" customWidth="1"/>
    <col min="8" max="67" width="24.33203125" style="10"/>
    <col min="68" max="16384" width="24.33203125" style="12"/>
  </cols>
  <sheetData>
    <row r="1" spans="2:9" ht="15" customHeight="1" x14ac:dyDescent="0.2">
      <c r="B1" s="228" t="s">
        <v>409</v>
      </c>
      <c r="C1" s="228"/>
      <c r="D1" s="228"/>
      <c r="E1" s="228"/>
      <c r="F1" s="228"/>
      <c r="G1" s="228"/>
      <c r="H1" s="228"/>
    </row>
    <row r="2" spans="2:9" ht="15" customHeight="1" x14ac:dyDescent="0.2">
      <c r="B2" s="252" t="s">
        <v>410</v>
      </c>
      <c r="C2" s="252"/>
      <c r="D2" s="252"/>
      <c r="E2" s="252"/>
      <c r="F2" s="252"/>
      <c r="G2" s="252"/>
      <c r="H2" s="252"/>
    </row>
    <row r="3" spans="2:9" ht="15" x14ac:dyDescent="0.2">
      <c r="B3" s="11" t="s">
        <v>86</v>
      </c>
      <c r="C3" s="11" t="s">
        <v>141</v>
      </c>
      <c r="D3" s="11" t="s">
        <v>142</v>
      </c>
      <c r="E3" s="11" t="s">
        <v>143</v>
      </c>
      <c r="F3" s="11" t="s">
        <v>144</v>
      </c>
      <c r="G3" s="11" t="s">
        <v>145</v>
      </c>
    </row>
    <row r="4" spans="2:9" ht="15" x14ac:dyDescent="0.2">
      <c r="B4" s="20" t="s">
        <v>146</v>
      </c>
      <c r="C4" s="105">
        <v>0.79700000000000004</v>
      </c>
      <c r="D4" s="105">
        <v>25.785</v>
      </c>
      <c r="E4" s="105">
        <v>33.04</v>
      </c>
      <c r="F4" s="105">
        <v>31.67</v>
      </c>
      <c r="G4" s="106">
        <f>SUM(C4:F4)</f>
        <v>91.292000000000002</v>
      </c>
    </row>
    <row r="5" spans="2:9" ht="15" x14ac:dyDescent="0.2">
      <c r="B5" s="20" t="s">
        <v>147</v>
      </c>
      <c r="C5" s="105">
        <v>0</v>
      </c>
      <c r="D5" s="105">
        <v>45.582999999999998</v>
      </c>
      <c r="E5" s="105">
        <v>52.48</v>
      </c>
      <c r="F5" s="105">
        <v>56.46</v>
      </c>
      <c r="G5" s="106">
        <f>SUM(C5:F5)</f>
        <v>154.523</v>
      </c>
    </row>
    <row r="6" spans="2:9" ht="15" x14ac:dyDescent="0.2">
      <c r="B6" s="20" t="s">
        <v>148</v>
      </c>
      <c r="C6" s="105">
        <v>0</v>
      </c>
      <c r="D6" s="105">
        <v>2</v>
      </c>
      <c r="E6" s="105">
        <v>5</v>
      </c>
      <c r="F6" s="105">
        <v>0</v>
      </c>
      <c r="G6" s="106">
        <f>SUM(C6:F6)</f>
        <v>7</v>
      </c>
    </row>
    <row r="7" spans="2:9" ht="15" x14ac:dyDescent="0.2">
      <c r="B7" s="20" t="s">
        <v>27</v>
      </c>
      <c r="C7" s="105">
        <v>0</v>
      </c>
      <c r="D7" s="105">
        <v>0</v>
      </c>
      <c r="E7" s="105">
        <v>0</v>
      </c>
      <c r="F7" s="105">
        <v>0</v>
      </c>
      <c r="G7" s="106">
        <f>SUM(C7:F7)</f>
        <v>0</v>
      </c>
    </row>
    <row r="8" spans="2:9" ht="15" x14ac:dyDescent="0.2">
      <c r="B8" s="47" t="s">
        <v>32</v>
      </c>
      <c r="C8" s="107">
        <f>SUM(C4:C7)</f>
        <v>0.79700000000000004</v>
      </c>
      <c r="D8" s="107">
        <f>SUM(D4:D7)</f>
        <v>73.367999999999995</v>
      </c>
      <c r="E8" s="107">
        <f>SUM(E4:E7)</f>
        <v>90.52</v>
      </c>
      <c r="F8" s="107">
        <f>SUM(F4:F7)</f>
        <v>88.13</v>
      </c>
      <c r="G8" s="107">
        <f>SUM(G4:G7)</f>
        <v>252.815</v>
      </c>
    </row>
    <row r="9" spans="2:9" s="10" customFormat="1" ht="41" customHeight="1" x14ac:dyDescent="0.2">
      <c r="B9" s="261" t="s">
        <v>426</v>
      </c>
      <c r="C9" s="261"/>
      <c r="D9" s="261"/>
      <c r="E9" s="261"/>
      <c r="F9" s="261"/>
      <c r="G9" s="261"/>
      <c r="H9" s="261"/>
    </row>
    <row r="10" spans="2:9" s="10" customFormat="1" x14ac:dyDescent="0.2"/>
    <row r="11" spans="2:9" ht="15" customHeight="1" x14ac:dyDescent="0.2">
      <c r="B11" s="260" t="s">
        <v>411</v>
      </c>
      <c r="C11" s="260"/>
      <c r="D11" s="260"/>
      <c r="E11" s="260"/>
      <c r="F11" s="260"/>
      <c r="G11" s="260"/>
      <c r="H11" s="260"/>
    </row>
    <row r="12" spans="2:9" ht="30" x14ac:dyDescent="0.2">
      <c r="B12" s="11" t="s">
        <v>18</v>
      </c>
      <c r="C12" s="108" t="s">
        <v>25</v>
      </c>
      <c r="D12" s="108" t="s">
        <v>26</v>
      </c>
      <c r="E12" s="108" t="s">
        <v>27</v>
      </c>
      <c r="F12" s="108" t="s">
        <v>148</v>
      </c>
      <c r="G12" s="108" t="s">
        <v>149</v>
      </c>
      <c r="H12" s="11" t="s">
        <v>116</v>
      </c>
    </row>
    <row r="13" spans="2:9" ht="15" x14ac:dyDescent="0.2">
      <c r="B13" s="19">
        <v>2022</v>
      </c>
      <c r="C13" s="173">
        <f>+'2 Producao Receitas'!H4</f>
        <v>0.79601759999999999</v>
      </c>
      <c r="D13" s="173">
        <f>+'3 Cost Recovery ProfitOil'!S5</f>
        <v>0</v>
      </c>
      <c r="E13" s="173">
        <f>+'3 Cost Recovery ProfitOil'!X5</f>
        <v>0</v>
      </c>
      <c r="F13" s="173">
        <v>0</v>
      </c>
      <c r="G13" s="174">
        <f>SUM(C13:F13)</f>
        <v>0.79601759999999999</v>
      </c>
      <c r="H13" s="20" t="s">
        <v>122</v>
      </c>
      <c r="I13" s="171"/>
    </row>
    <row r="14" spans="2:9" ht="15" x14ac:dyDescent="0.2">
      <c r="B14" s="19">
        <v>2023</v>
      </c>
      <c r="C14" s="173">
        <f>+'2 Producao Receitas'!H5</f>
        <v>25.787757800000005</v>
      </c>
      <c r="D14" s="173">
        <f>+'3 Cost Recovery ProfitOil'!S6</f>
        <v>47.385004957500009</v>
      </c>
      <c r="E14" s="173">
        <f>+'3 Cost Recovery ProfitOil'!X6</f>
        <v>0</v>
      </c>
      <c r="F14" s="173">
        <f>+D6</f>
        <v>2</v>
      </c>
      <c r="G14" s="174">
        <f>SUM(C14:F14)</f>
        <v>75.17276275750001</v>
      </c>
      <c r="H14" s="20" t="s">
        <v>122</v>
      </c>
      <c r="I14" s="171"/>
    </row>
    <row r="15" spans="2:9" ht="15" x14ac:dyDescent="0.2">
      <c r="B15" s="24">
        <v>2024</v>
      </c>
      <c r="C15" s="175">
        <f>+'2 Producao Receitas'!H6</f>
        <v>33.064768800000003</v>
      </c>
      <c r="D15" s="175">
        <f>+'3 Cost Recovery ProfitOil'!S7</f>
        <v>60.756512670000006</v>
      </c>
      <c r="E15" s="175">
        <f>+'3 Cost Recovery ProfitOil'!X7</f>
        <v>0</v>
      </c>
      <c r="F15" s="175">
        <f>+E6</f>
        <v>5</v>
      </c>
      <c r="G15" s="175">
        <f t="shared" ref="G15:G39" si="0">SUM(C15:F15)</f>
        <v>98.821281470000002</v>
      </c>
      <c r="H15" s="25" t="s">
        <v>123</v>
      </c>
      <c r="I15" s="171"/>
    </row>
    <row r="16" spans="2:9" ht="15" x14ac:dyDescent="0.2">
      <c r="B16" s="24">
        <v>2025</v>
      </c>
      <c r="C16" s="175">
        <f>+'2 Producao Receitas'!H7</f>
        <v>31.686757200000002</v>
      </c>
      <c r="D16" s="175">
        <f>+'3 Cost Recovery ProfitOil'!S8</f>
        <v>58.224416355000017</v>
      </c>
      <c r="E16" s="175">
        <f>+'3 Cost Recovery ProfitOil'!X8</f>
        <v>0</v>
      </c>
      <c r="F16" s="175">
        <v>0</v>
      </c>
      <c r="G16" s="175">
        <f>SUM(C16:F16)</f>
        <v>89.911173555000019</v>
      </c>
      <c r="H16" s="25" t="s">
        <v>123</v>
      </c>
      <c r="I16" s="171"/>
    </row>
    <row r="17" spans="2:9" ht="15" x14ac:dyDescent="0.2">
      <c r="B17" s="24">
        <v>2026</v>
      </c>
      <c r="C17" s="175">
        <f>+'2 Producao Receitas'!H8</f>
        <v>41.177640000000004</v>
      </c>
      <c r="D17" s="175">
        <f>+'3 Cost Recovery ProfitOil'!S9</f>
        <v>75.663913499999992</v>
      </c>
      <c r="E17" s="175">
        <f>+'3 Cost Recovery ProfitOil'!X9</f>
        <v>0</v>
      </c>
      <c r="F17" s="175">
        <v>0</v>
      </c>
      <c r="G17" s="176">
        <f>SUM(C17:F17)</f>
        <v>116.8415535</v>
      </c>
      <c r="H17" s="25" t="s">
        <v>123</v>
      </c>
      <c r="I17" s="171"/>
    </row>
    <row r="18" spans="2:9" ht="15" x14ac:dyDescent="0.2">
      <c r="B18" s="24">
        <v>2027</v>
      </c>
      <c r="C18" s="175">
        <f>+'2 Producao Receitas'!H9</f>
        <v>42.178919999999998</v>
      </c>
      <c r="D18" s="175">
        <f>+'3 Cost Recovery ProfitOil'!S10</f>
        <v>77.503765499999986</v>
      </c>
      <c r="E18" s="175">
        <f>+'3 Cost Recovery ProfitOil'!X10</f>
        <v>0</v>
      </c>
      <c r="F18" s="175">
        <v>0</v>
      </c>
      <c r="G18" s="176">
        <f t="shared" si="0"/>
        <v>119.68268549999999</v>
      </c>
      <c r="H18" s="25" t="s">
        <v>123</v>
      </c>
      <c r="I18" s="171"/>
    </row>
    <row r="19" spans="2:9" ht="15" x14ac:dyDescent="0.2">
      <c r="B19" s="24">
        <v>2028</v>
      </c>
      <c r="C19" s="175">
        <f>+'2 Producao Receitas'!H10</f>
        <v>42.178919999999998</v>
      </c>
      <c r="D19" s="175">
        <f>+'3 Cost Recovery ProfitOil'!S11</f>
        <v>77.503765499999986</v>
      </c>
      <c r="E19" s="175">
        <f>+'3 Cost Recovery ProfitOil'!X11</f>
        <v>0</v>
      </c>
      <c r="F19" s="175">
        <v>0</v>
      </c>
      <c r="G19" s="176">
        <f t="shared" si="0"/>
        <v>119.68268549999999</v>
      </c>
      <c r="H19" s="25" t="s">
        <v>123</v>
      </c>
      <c r="I19" s="171"/>
    </row>
    <row r="20" spans="2:9" ht="15" x14ac:dyDescent="0.2">
      <c r="B20" s="24">
        <v>2029</v>
      </c>
      <c r="C20" s="175">
        <f>+'2 Producao Receitas'!H11</f>
        <v>42.178919999999998</v>
      </c>
      <c r="D20" s="175">
        <f>+'3 Cost Recovery ProfitOil'!S12</f>
        <v>77.503765499999986</v>
      </c>
      <c r="E20" s="175">
        <f>+'3 Cost Recovery ProfitOil'!X12</f>
        <v>0</v>
      </c>
      <c r="F20" s="175">
        <v>0</v>
      </c>
      <c r="G20" s="176">
        <f t="shared" si="0"/>
        <v>119.68268549999999</v>
      </c>
      <c r="H20" s="25" t="s">
        <v>123</v>
      </c>
      <c r="I20" s="171"/>
    </row>
    <row r="21" spans="2:9" ht="15" x14ac:dyDescent="0.2">
      <c r="B21" s="24">
        <v>2030</v>
      </c>
      <c r="C21" s="175">
        <f>+'2 Producao Receitas'!H12</f>
        <v>42.178919999999998</v>
      </c>
      <c r="D21" s="175">
        <f>+'3 Cost Recovery ProfitOil'!S13</f>
        <v>77.503765499999986</v>
      </c>
      <c r="E21" s="175">
        <f>+'3 Cost Recovery ProfitOil'!X13</f>
        <v>0</v>
      </c>
      <c r="F21" s="175">
        <v>0</v>
      </c>
      <c r="G21" s="176">
        <f t="shared" si="0"/>
        <v>119.68268549999999</v>
      </c>
      <c r="H21" s="25" t="s">
        <v>123</v>
      </c>
      <c r="I21" s="171"/>
    </row>
    <row r="22" spans="2:9" ht="15" x14ac:dyDescent="0.2">
      <c r="B22" s="24">
        <v>2031</v>
      </c>
      <c r="C22" s="175">
        <f>+'2 Producao Receitas'!H13</f>
        <v>42.178919999999998</v>
      </c>
      <c r="D22" s="175">
        <f>+'3 Cost Recovery ProfitOil'!S14</f>
        <v>77.503765499999986</v>
      </c>
      <c r="E22" s="175">
        <f>+'3 Cost Recovery ProfitOil'!X14</f>
        <v>0</v>
      </c>
      <c r="F22" s="175">
        <v>0</v>
      </c>
      <c r="G22" s="176">
        <f t="shared" si="0"/>
        <v>119.68268549999999</v>
      </c>
      <c r="H22" s="25" t="s">
        <v>123</v>
      </c>
      <c r="I22" s="171"/>
    </row>
    <row r="23" spans="2:9" ht="15" x14ac:dyDescent="0.2">
      <c r="B23" s="24">
        <v>2032</v>
      </c>
      <c r="C23" s="175">
        <f>+'2 Producao Receitas'!H14</f>
        <v>42.178919999999998</v>
      </c>
      <c r="D23" s="175">
        <f>+'3 Cost Recovery ProfitOil'!S15</f>
        <v>77.503765499999986</v>
      </c>
      <c r="E23" s="175">
        <f>+'3 Cost Recovery ProfitOil'!X15</f>
        <v>0</v>
      </c>
      <c r="F23" s="175">
        <v>0</v>
      </c>
      <c r="G23" s="176">
        <f t="shared" si="0"/>
        <v>119.68268549999999</v>
      </c>
      <c r="H23" s="25" t="s">
        <v>123</v>
      </c>
      <c r="I23" s="171"/>
    </row>
    <row r="24" spans="2:9" ht="15" x14ac:dyDescent="0.2">
      <c r="B24" s="24">
        <v>2033</v>
      </c>
      <c r="C24" s="175">
        <f>+'2 Producao Receitas'!H15</f>
        <v>42.178919999999998</v>
      </c>
      <c r="D24" s="175">
        <f>+'3 Cost Recovery ProfitOil'!S16</f>
        <v>77.503765499999986</v>
      </c>
      <c r="E24" s="175">
        <f>+'3 Cost Recovery ProfitOil'!X16</f>
        <v>20.176323191980629</v>
      </c>
      <c r="F24" s="175">
        <v>0</v>
      </c>
      <c r="G24" s="176">
        <f t="shared" si="0"/>
        <v>139.85900869198062</v>
      </c>
      <c r="H24" s="25" t="s">
        <v>123</v>
      </c>
      <c r="I24" s="171"/>
    </row>
    <row r="25" spans="2:9" ht="15" x14ac:dyDescent="0.2">
      <c r="B25" s="29">
        <v>2034</v>
      </c>
      <c r="C25" s="177">
        <f>+'2 Producao Receitas'!H16</f>
        <v>39.226395600000004</v>
      </c>
      <c r="D25" s="177">
        <f>+'3 Cost Recovery ProfitOil'!S17</f>
        <v>72.078501915000004</v>
      </c>
      <c r="E25" s="177">
        <f>+'3 Cost Recovery ProfitOil'!X17</f>
        <v>312.9136404885835</v>
      </c>
      <c r="F25" s="177">
        <v>0</v>
      </c>
      <c r="G25" s="178">
        <f t="shared" si="0"/>
        <v>424.21853800358349</v>
      </c>
      <c r="H25" s="30" t="s">
        <v>124</v>
      </c>
      <c r="I25" s="171"/>
    </row>
    <row r="26" spans="2:9" ht="15" x14ac:dyDescent="0.2">
      <c r="B26" s="29">
        <v>2035</v>
      </c>
      <c r="C26" s="177">
        <f>+'2 Producao Receitas'!H17</f>
        <v>36.480547907999998</v>
      </c>
      <c r="D26" s="177">
        <f>+'3 Cost Recovery ProfitOil'!S18</f>
        <v>111.72167796824999</v>
      </c>
      <c r="E26" s="177">
        <f>+'3 Cost Recovery ProfitOil'!X18</f>
        <v>254.52736906356904</v>
      </c>
      <c r="F26" s="177">
        <v>0</v>
      </c>
      <c r="G26" s="178">
        <f t="shared" si="0"/>
        <v>402.72959493981904</v>
      </c>
      <c r="H26" s="30" t="s">
        <v>124</v>
      </c>
      <c r="I26" s="171"/>
    </row>
    <row r="27" spans="2:9" ht="15" x14ac:dyDescent="0.2">
      <c r="B27" s="29">
        <v>2036</v>
      </c>
      <c r="C27" s="177">
        <f>+'2 Producao Receitas'!H18</f>
        <v>33.926909554440002</v>
      </c>
      <c r="D27" s="177">
        <f>+'3 Cost Recovery ProfitOil'!S19</f>
        <v>103.90116051047249</v>
      </c>
      <c r="E27" s="177">
        <f>+'3 Cost Recovery ProfitOil'!X19</f>
        <v>214.03073110060032</v>
      </c>
      <c r="F27" s="177">
        <v>0</v>
      </c>
      <c r="G27" s="178">
        <f t="shared" si="0"/>
        <v>351.85880116551277</v>
      </c>
      <c r="H27" s="30" t="s">
        <v>124</v>
      </c>
      <c r="I27" s="171"/>
    </row>
    <row r="28" spans="2:9" ht="15" x14ac:dyDescent="0.2">
      <c r="B28" s="29">
        <v>2037</v>
      </c>
      <c r="C28" s="177">
        <f>+'2 Producao Receitas'!H19</f>
        <v>31.552025885629188</v>
      </c>
      <c r="D28" s="177">
        <f>+'3 Cost Recovery ProfitOil'!S20</f>
        <v>96.628079274739378</v>
      </c>
      <c r="E28" s="177">
        <f>+'3 Cost Recovery ProfitOil'!X20</f>
        <v>175.73972916414547</v>
      </c>
      <c r="F28" s="177">
        <v>0</v>
      </c>
      <c r="G28" s="178">
        <f t="shared" si="0"/>
        <v>303.919834324514</v>
      </c>
      <c r="H28" s="30" t="s">
        <v>124</v>
      </c>
      <c r="I28" s="171"/>
    </row>
    <row r="29" spans="2:9" ht="15" x14ac:dyDescent="0.2">
      <c r="B29" s="29">
        <v>2038</v>
      </c>
      <c r="C29" s="177">
        <f>+'2 Producao Receitas'!H20</f>
        <v>29.343384073635143</v>
      </c>
      <c r="D29" s="177">
        <f>+'3 Cost Recovery ProfitOil'!S21</f>
        <v>89.86411372550765</v>
      </c>
      <c r="E29" s="177">
        <f>+'3 Cost Recovery ProfitOil'!X21</f>
        <v>139.46873489260264</v>
      </c>
      <c r="F29" s="177">
        <v>0</v>
      </c>
      <c r="G29" s="178">
        <f t="shared" si="0"/>
        <v>258.67623269174544</v>
      </c>
      <c r="H29" s="30" t="s">
        <v>124</v>
      </c>
      <c r="I29" s="171"/>
    </row>
    <row r="30" spans="2:9" ht="15" x14ac:dyDescent="0.2">
      <c r="B30" s="29">
        <v>2039</v>
      </c>
      <c r="C30" s="177">
        <f>+'2 Producao Receitas'!H21</f>
        <v>27.289347188480683</v>
      </c>
      <c r="D30" s="177">
        <f>+'3 Cost Recovery ProfitOil'!S22</f>
        <v>83.573625764722095</v>
      </c>
      <c r="E30" s="177">
        <f>+'3 Cost Recovery ProfitOil'!X22</f>
        <v>105.04439119546798</v>
      </c>
      <c r="F30" s="177">
        <v>0</v>
      </c>
      <c r="G30" s="178">
        <f t="shared" si="0"/>
        <v>215.90736414867075</v>
      </c>
      <c r="H30" s="30" t="s">
        <v>124</v>
      </c>
      <c r="I30" s="171"/>
    </row>
    <row r="31" spans="2:9" ht="15" x14ac:dyDescent="0.2">
      <c r="B31" s="29">
        <v>2040</v>
      </c>
      <c r="C31" s="177">
        <f>+'2 Producao Receitas'!H22</f>
        <v>25.379092885287037</v>
      </c>
      <c r="D31" s="177">
        <f>+'3 Cost Recovery ProfitOil'!S23</f>
        <v>77.723471961191535</v>
      </c>
      <c r="E31" s="177">
        <f>+'3 Cost Recovery ProfitOil'!X23</f>
        <v>72.304713379234926</v>
      </c>
      <c r="F31" s="177">
        <v>0</v>
      </c>
      <c r="G31" s="178">
        <f t="shared" si="0"/>
        <v>175.4072782257135</v>
      </c>
      <c r="H31" s="30" t="s">
        <v>124</v>
      </c>
      <c r="I31" s="171"/>
    </row>
    <row r="32" spans="2:9" ht="15" x14ac:dyDescent="0.2">
      <c r="B32" s="29">
        <v>2041</v>
      </c>
      <c r="C32" s="177">
        <f>+'2 Producao Receitas'!H23</f>
        <v>23.602556383316941</v>
      </c>
      <c r="D32" s="177">
        <f>+'3 Cost Recovery ProfitOil'!S24</f>
        <v>72.282828923908141</v>
      </c>
      <c r="E32" s="177">
        <f>+'3 Cost Recovery ProfitOil'!X24</f>
        <v>41.098252488853866</v>
      </c>
      <c r="F32" s="177">
        <v>0</v>
      </c>
      <c r="G32" s="178">
        <f>SUM(C32:F32)</f>
        <v>136.98363779607894</v>
      </c>
      <c r="H32" s="30" t="s">
        <v>124</v>
      </c>
      <c r="I32" s="171"/>
    </row>
    <row r="33" spans="2:9" ht="15" x14ac:dyDescent="0.2">
      <c r="B33" s="29">
        <v>2042</v>
      </c>
      <c r="C33" s="177">
        <f>+'2 Producao Receitas'!H24</f>
        <v>21.95037743648475</v>
      </c>
      <c r="D33" s="177">
        <f>+'3 Cost Recovery ProfitOil'!S25</f>
        <v>67.223030899234544</v>
      </c>
      <c r="E33" s="177">
        <f>+'3 Cost Recovery ProfitOil'!X25</f>
        <v>11.283316459561938</v>
      </c>
      <c r="F33" s="177">
        <v>0</v>
      </c>
      <c r="G33" s="178">
        <f t="shared" si="0"/>
        <v>100.45672479528125</v>
      </c>
      <c r="H33" s="30" t="s">
        <v>124</v>
      </c>
      <c r="I33" s="171"/>
    </row>
    <row r="34" spans="2:9" ht="15" x14ac:dyDescent="0.2">
      <c r="B34" s="29">
        <v>2043</v>
      </c>
      <c r="C34" s="177">
        <f>+'2 Producao Receitas'!H25</f>
        <v>20.413851015930817</v>
      </c>
      <c r="D34" s="177">
        <f>+'3 Cost Recovery ProfitOil'!S26</f>
        <v>62.517418736288136</v>
      </c>
      <c r="E34" s="177">
        <f>+'3 Cost Recovery ProfitOil'!X26</f>
        <v>0</v>
      </c>
      <c r="F34" s="177">
        <v>0</v>
      </c>
      <c r="G34" s="178">
        <f t="shared" si="0"/>
        <v>82.931269752218952</v>
      </c>
      <c r="H34" s="30" t="s">
        <v>124</v>
      </c>
      <c r="I34" s="171"/>
    </row>
    <row r="35" spans="2:9" ht="15" x14ac:dyDescent="0.2">
      <c r="B35" s="29">
        <v>2044</v>
      </c>
      <c r="C35" s="177">
        <f>+'2 Producao Receitas'!H26</f>
        <v>18.98488144481566</v>
      </c>
      <c r="D35" s="177">
        <f>+'3 Cost Recovery ProfitOil'!S27</f>
        <v>58.141199424747953</v>
      </c>
      <c r="E35" s="177">
        <f>+'3 Cost Recovery ProfitOil'!X27</f>
        <v>0</v>
      </c>
      <c r="F35" s="177">
        <v>0</v>
      </c>
      <c r="G35" s="178">
        <f t="shared" si="0"/>
        <v>77.126080869563609</v>
      </c>
      <c r="H35" s="30" t="s">
        <v>124</v>
      </c>
      <c r="I35" s="171"/>
    </row>
    <row r="36" spans="2:9" ht="15" x14ac:dyDescent="0.2">
      <c r="B36" s="29">
        <v>2045</v>
      </c>
      <c r="C36" s="177">
        <f>+'2 Producao Receitas'!H27</f>
        <v>17.655939743678559</v>
      </c>
      <c r="D36" s="177">
        <f>+'3 Cost Recovery ProfitOil'!S28</f>
        <v>54.071315465015573</v>
      </c>
      <c r="E36" s="177">
        <f>+'3 Cost Recovery ProfitOil'!X28</f>
        <v>0</v>
      </c>
      <c r="F36" s="177">
        <v>0</v>
      </c>
      <c r="G36" s="178">
        <f t="shared" si="0"/>
        <v>71.727255208694132</v>
      </c>
      <c r="H36" s="30" t="s">
        <v>124</v>
      </c>
      <c r="I36" s="171"/>
    </row>
    <row r="37" spans="2:9" ht="15" x14ac:dyDescent="0.2">
      <c r="B37" s="29">
        <v>2046</v>
      </c>
      <c r="C37" s="177">
        <f>+'2 Producao Receitas'!H28</f>
        <v>16.420023961621062</v>
      </c>
      <c r="D37" s="177">
        <f>+'3 Cost Recovery ProfitOil'!S29</f>
        <v>50.286323382464502</v>
      </c>
      <c r="E37" s="177">
        <f>+'3 Cost Recovery ProfitOil'!X29</f>
        <v>0</v>
      </c>
      <c r="F37" s="177">
        <v>0</v>
      </c>
      <c r="G37" s="178">
        <f t="shared" si="0"/>
        <v>66.706347344085572</v>
      </c>
      <c r="H37" s="30" t="s">
        <v>124</v>
      </c>
      <c r="I37" s="171"/>
    </row>
    <row r="38" spans="2:9" ht="15" x14ac:dyDescent="0.2">
      <c r="B38" s="29">
        <v>2047</v>
      </c>
      <c r="C38" s="177">
        <f>+'2 Producao Receitas'!H29</f>
        <v>15.270622284307589</v>
      </c>
      <c r="D38" s="177">
        <f>+'3 Cost Recovery ProfitOil'!S30</f>
        <v>46.766280745691972</v>
      </c>
      <c r="E38" s="177">
        <f>+'3 Cost Recovery ProfitOil'!X30</f>
        <v>0</v>
      </c>
      <c r="F38" s="177">
        <v>0</v>
      </c>
      <c r="G38" s="178">
        <f t="shared" si="0"/>
        <v>62.036903029999564</v>
      </c>
      <c r="H38" s="30" t="s">
        <v>124</v>
      </c>
      <c r="I38" s="171"/>
    </row>
    <row r="39" spans="2:9" ht="15" x14ac:dyDescent="0.2">
      <c r="B39" s="29">
        <v>2048</v>
      </c>
      <c r="C39" s="177">
        <f>+'2 Producao Receitas'!H30</f>
        <v>14.201678724406054</v>
      </c>
      <c r="D39" s="177">
        <f>+'3 Cost Recovery ProfitOil'!S31</f>
        <v>43.492641093493546</v>
      </c>
      <c r="E39" s="177">
        <f>+'3 Cost Recovery ProfitOil'!X31</f>
        <v>0</v>
      </c>
      <c r="F39" s="177">
        <v>0</v>
      </c>
      <c r="G39" s="178">
        <f t="shared" si="0"/>
        <v>57.694319817899597</v>
      </c>
      <c r="H39" s="30" t="s">
        <v>124</v>
      </c>
      <c r="I39" s="171"/>
    </row>
    <row r="40" spans="2:9" ht="15" x14ac:dyDescent="0.2">
      <c r="B40" s="47" t="s">
        <v>150</v>
      </c>
      <c r="C40" s="107">
        <f>SUM(C13:C39)</f>
        <v>799.4630154900334</v>
      </c>
      <c r="D40" s="107">
        <f>SUM(D13:D39)</f>
        <v>1874.827875773228</v>
      </c>
      <c r="E40" s="107">
        <f>SUM(E13:E39)</f>
        <v>1346.5872014246004</v>
      </c>
      <c r="F40" s="107">
        <f>SUM(F13:F39)</f>
        <v>7</v>
      </c>
      <c r="G40" s="107">
        <f>SUM(G13:G39)</f>
        <v>4027.8780926878621</v>
      </c>
    </row>
    <row r="41" spans="2:9" s="10" customFormat="1" x14ac:dyDescent="0.2">
      <c r="B41" s="262"/>
      <c r="C41" s="262"/>
      <c r="D41" s="262"/>
      <c r="E41" s="262"/>
      <c r="F41" s="262"/>
      <c r="G41" s="262"/>
      <c r="H41" s="262"/>
    </row>
    <row r="42" spans="2:9" s="10" customFormat="1" x14ac:dyDescent="0.2">
      <c r="B42" s="259" t="s">
        <v>151</v>
      </c>
      <c r="C42" s="259"/>
      <c r="D42" s="259"/>
      <c r="E42" s="259"/>
      <c r="F42" s="259"/>
      <c r="G42" s="259"/>
      <c r="H42" s="259"/>
    </row>
    <row r="43" spans="2:9" s="10" customFormat="1" ht="15" x14ac:dyDescent="0.2">
      <c r="B43" s="2" t="s">
        <v>25</v>
      </c>
      <c r="C43" s="110">
        <f>+C40</f>
        <v>799.4630154900334</v>
      </c>
      <c r="D43" s="111">
        <f>+C43/$C$47</f>
        <v>0.19848242600523694</v>
      </c>
    </row>
    <row r="44" spans="2:9" s="10" customFormat="1" ht="15" x14ac:dyDescent="0.2">
      <c r="B44" s="2" t="s">
        <v>26</v>
      </c>
      <c r="C44" s="110">
        <f>+D40</f>
        <v>1874.827875773228</v>
      </c>
      <c r="D44" s="111">
        <f>+C44/$C$47</f>
        <v>0.46546291437587378</v>
      </c>
    </row>
    <row r="45" spans="2:9" s="10" customFormat="1" ht="15" x14ac:dyDescent="0.2">
      <c r="B45" s="2" t="s">
        <v>27</v>
      </c>
      <c r="C45" s="110">
        <f>+E40</f>
        <v>1346.5872014246004</v>
      </c>
      <c r="D45" s="111">
        <f>+C45/$C$47</f>
        <v>0.33431677186784048</v>
      </c>
    </row>
    <row r="46" spans="2:9" s="10" customFormat="1" ht="15" x14ac:dyDescent="0.2">
      <c r="B46" s="2" t="s">
        <v>29</v>
      </c>
      <c r="C46" s="110">
        <f>+F40</f>
        <v>7</v>
      </c>
      <c r="D46" s="111">
        <f>+C46/$C$47</f>
        <v>1.7378877510487907E-3</v>
      </c>
    </row>
    <row r="47" spans="2:9" s="10" customFormat="1" ht="15" x14ac:dyDescent="0.2">
      <c r="B47" s="41" t="s">
        <v>32</v>
      </c>
      <c r="C47" s="112">
        <f>SUM(C43:C46)</f>
        <v>4027.8780926878617</v>
      </c>
      <c r="D47" s="113">
        <f>SUM(D43:D46)</f>
        <v>1</v>
      </c>
    </row>
    <row r="48" spans="2:9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</sheetData>
  <mergeCells count="6">
    <mergeCell ref="B42:H42"/>
    <mergeCell ref="B11:H11"/>
    <mergeCell ref="B1:H1"/>
    <mergeCell ref="B2:H2"/>
    <mergeCell ref="B9:H9"/>
    <mergeCell ref="B41:H41"/>
  </mergeCells>
  <pageMargins left="0.75" right="0.75" top="1" bottom="1" header="0.511811023622047" footer="0.511811023622047"/>
  <pageSetup paperSize="9" orientation="portrait" horizontalDpi="300" verticalDpi="300"/>
  <ignoredErrors>
    <ignoredError sqref="G15 G18:G31 G33:G39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1F7145"/>
  </sheetPr>
  <dimension ref="A1:HC643"/>
  <sheetViews>
    <sheetView zoomScaleNormal="100" workbookViewId="0">
      <selection activeCell="J23" sqref="J23"/>
    </sheetView>
  </sheetViews>
  <sheetFormatPr baseColWidth="10" defaultColWidth="8.6640625" defaultRowHeight="14" x14ac:dyDescent="0.2"/>
  <cols>
    <col min="1" max="1" width="4.1640625" style="10" customWidth="1"/>
    <col min="2" max="2" width="39.33203125" style="12" bestFit="1" customWidth="1"/>
    <col min="3" max="3" width="18.6640625" style="12" bestFit="1" customWidth="1"/>
    <col min="4" max="4" width="15.33203125" style="12" bestFit="1" customWidth="1"/>
    <col min="5" max="5" width="28.5" style="12" bestFit="1" customWidth="1"/>
    <col min="6" max="6" width="10.5" style="12" bestFit="1" customWidth="1"/>
    <col min="7" max="7" width="12.1640625" style="10" bestFit="1" customWidth="1"/>
    <col min="8" max="13" width="8.6640625" style="10"/>
    <col min="14" max="14" width="6.5" style="10" customWidth="1"/>
    <col min="15" max="211" width="8.6640625" style="10"/>
    <col min="212" max="16384" width="8.6640625" style="12"/>
  </cols>
  <sheetData>
    <row r="1" spans="1:211" s="9" customFormat="1" ht="16" x14ac:dyDescent="0.2">
      <c r="A1" s="8"/>
      <c r="B1" s="257" t="s">
        <v>171</v>
      </c>
      <c r="C1" s="257"/>
      <c r="D1" s="257"/>
      <c r="E1" s="257"/>
      <c r="F1" s="257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</row>
    <row r="2" spans="1:211" s="10" customFormat="1" x14ac:dyDescent="0.2"/>
    <row r="3" spans="1:211" x14ac:dyDescent="0.2">
      <c r="B3" s="252" t="s">
        <v>366</v>
      </c>
      <c r="C3" s="252"/>
      <c r="D3" s="252"/>
      <c r="E3" s="252"/>
      <c r="F3" s="252"/>
    </row>
    <row r="4" spans="1:211" s="74" customFormat="1" ht="15" x14ac:dyDescent="0.2">
      <c r="A4" s="73"/>
      <c r="B4" s="11" t="s">
        <v>23</v>
      </c>
      <c r="C4" s="343" t="s">
        <v>24</v>
      </c>
      <c r="D4" s="11" t="s">
        <v>50</v>
      </c>
      <c r="E4" s="11" t="s">
        <v>172</v>
      </c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</row>
    <row r="5" spans="1:211" s="10" customFormat="1" ht="15" x14ac:dyDescent="0.2">
      <c r="B5" s="86" t="s">
        <v>173</v>
      </c>
      <c r="C5" s="344">
        <f>'7 Resumo Validação'!C11</f>
        <v>39973.150774501686</v>
      </c>
      <c r="D5" s="87" t="s">
        <v>21</v>
      </c>
      <c r="E5" s="88" t="s">
        <v>19</v>
      </c>
    </row>
    <row r="6" spans="1:211" s="10" customFormat="1" ht="15" x14ac:dyDescent="0.2">
      <c r="B6" s="86" t="s">
        <v>174</v>
      </c>
      <c r="C6" s="344">
        <f>'7 Resumo Validação'!C8</f>
        <v>4027.8780926878621</v>
      </c>
      <c r="D6" s="87" t="s">
        <v>21</v>
      </c>
      <c r="E6" s="88" t="s">
        <v>19</v>
      </c>
    </row>
    <row r="7" spans="1:211" ht="15" x14ac:dyDescent="0.2">
      <c r="B7" s="89" t="s">
        <v>400</v>
      </c>
      <c r="C7" s="332">
        <f>'7 Resumo Validação'!C4</f>
        <v>799.4630154900334</v>
      </c>
      <c r="D7" s="90" t="s">
        <v>21</v>
      </c>
      <c r="E7" s="91" t="s">
        <v>427</v>
      </c>
      <c r="F7" s="182"/>
    </row>
    <row r="8" spans="1:211" ht="15" x14ac:dyDescent="0.2">
      <c r="B8" s="89" t="s">
        <v>401</v>
      </c>
      <c r="C8" s="332">
        <f>'7 Resumo Validação'!C5</f>
        <v>1874.827875773228</v>
      </c>
      <c r="D8" s="90" t="s">
        <v>21</v>
      </c>
      <c r="E8" s="91" t="s">
        <v>428</v>
      </c>
      <c r="F8" s="182"/>
    </row>
    <row r="9" spans="1:211" ht="15" x14ac:dyDescent="0.2">
      <c r="B9" s="89" t="s">
        <v>402</v>
      </c>
      <c r="C9" s="332">
        <f>'7 Resumo Validação'!C6</f>
        <v>1346.5872014246004</v>
      </c>
      <c r="D9" s="90" t="s">
        <v>21</v>
      </c>
      <c r="E9" s="91" t="s">
        <v>429</v>
      </c>
      <c r="F9" s="182"/>
    </row>
    <row r="10" spans="1:211" ht="15" x14ac:dyDescent="0.2">
      <c r="B10" s="89" t="s">
        <v>403</v>
      </c>
      <c r="C10" s="332">
        <f>'7 Resumo Validação'!C7</f>
        <v>7</v>
      </c>
      <c r="D10" s="90" t="s">
        <v>21</v>
      </c>
      <c r="E10" s="91" t="s">
        <v>430</v>
      </c>
      <c r="F10" s="182"/>
    </row>
    <row r="11" spans="1:211" s="10" customFormat="1" ht="15" x14ac:dyDescent="0.2">
      <c r="B11" s="86" t="s">
        <v>175</v>
      </c>
      <c r="C11" s="356">
        <f>'7 Resumo Validação'!C13</f>
        <v>0.10076458859623318</v>
      </c>
      <c r="D11" s="87" t="s">
        <v>22</v>
      </c>
      <c r="E11" s="88" t="s">
        <v>176</v>
      </c>
    </row>
    <row r="12" spans="1:211" s="10" customFormat="1" ht="15" x14ac:dyDescent="0.2">
      <c r="B12" s="86" t="s">
        <v>456</v>
      </c>
      <c r="C12" s="344">
        <f>+'2 Producao Receitas'!G31-'3 Cost Recovery ProfitOil'!M32</f>
        <v>10592.884955242953</v>
      </c>
      <c r="D12" s="87" t="s">
        <v>21</v>
      </c>
      <c r="E12" s="88" t="s">
        <v>19</v>
      </c>
    </row>
    <row r="13" spans="1:211" s="10" customFormat="1" ht="15" x14ac:dyDescent="0.2">
      <c r="B13" s="86" t="s">
        <v>457</v>
      </c>
      <c r="C13" s="356">
        <f>+C6/C12</f>
        <v>0.38024373055182309</v>
      </c>
      <c r="D13" s="87" t="s">
        <v>22</v>
      </c>
      <c r="E13" s="88" t="s">
        <v>19</v>
      </c>
    </row>
    <row r="14" spans="1:211" s="10" customFormat="1" ht="15" x14ac:dyDescent="0.2">
      <c r="B14" s="86" t="s">
        <v>177</v>
      </c>
      <c r="C14" s="344">
        <f>'7 Resumo Validação'!C14</f>
        <v>149.18067009955044</v>
      </c>
      <c r="D14" s="87" t="s">
        <v>178</v>
      </c>
      <c r="E14" s="88" t="s">
        <v>179</v>
      </c>
    </row>
    <row r="15" spans="1:211" s="10" customFormat="1" ht="15" x14ac:dyDescent="0.2">
      <c r="B15" s="86" t="s">
        <v>180</v>
      </c>
      <c r="C15" s="344">
        <f>INDEX('5 Analise ENH'!B4:B30,MATCH(0,'5 Analise ENH'!H4:H30,0))</f>
        <v>2033</v>
      </c>
      <c r="D15" s="87" t="s">
        <v>18</v>
      </c>
      <c r="E15" s="88" t="s">
        <v>431</v>
      </c>
      <c r="F15" s="92"/>
    </row>
    <row r="16" spans="1:211" s="10" customFormat="1" ht="15" x14ac:dyDescent="0.2">
      <c r="B16" s="86" t="s">
        <v>181</v>
      </c>
      <c r="C16" s="344">
        <f>'5 Analise ENH'!J30</f>
        <v>1788.2872515120914</v>
      </c>
      <c r="D16" s="87" t="s">
        <v>21</v>
      </c>
      <c r="E16" s="88" t="s">
        <v>182</v>
      </c>
    </row>
    <row r="17" spans="1:211" s="10" customFormat="1" ht="15" x14ac:dyDescent="0.2">
      <c r="B17" s="86" t="s">
        <v>183</v>
      </c>
      <c r="C17" s="344">
        <f>INDEX('5 Analise ENH'!B4:B30,MATCH(0,'5 Analise ENH'!H4:H30,0))-1</f>
        <v>2032</v>
      </c>
      <c r="D17" s="87" t="s">
        <v>18</v>
      </c>
      <c r="E17" s="88" t="s">
        <v>15</v>
      </c>
    </row>
    <row r="18" spans="1:211" x14ac:dyDescent="0.2">
      <c r="F18" s="10"/>
    </row>
    <row r="19" spans="1:211" s="9" customFormat="1" ht="16" x14ac:dyDescent="0.2">
      <c r="A19" s="8"/>
      <c r="B19" s="266" t="s">
        <v>404</v>
      </c>
      <c r="C19" s="266"/>
      <c r="D19" s="266"/>
      <c r="E19" s="267"/>
      <c r="F19" s="266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</row>
    <row r="20" spans="1:211" ht="30" x14ac:dyDescent="0.2">
      <c r="B20" s="11" t="s">
        <v>36</v>
      </c>
      <c r="C20" s="11" t="s">
        <v>184</v>
      </c>
      <c r="D20" s="11" t="s">
        <v>38</v>
      </c>
      <c r="E20" s="11" t="s">
        <v>185</v>
      </c>
      <c r="F20" s="11" t="s">
        <v>186</v>
      </c>
    </row>
    <row r="21" spans="1:211" ht="15" x14ac:dyDescent="0.2">
      <c r="B21" s="20" t="s">
        <v>88</v>
      </c>
      <c r="C21" s="183">
        <f>+'8 Parametros Avancados'!$C$17</f>
        <v>8</v>
      </c>
      <c r="D21" s="109">
        <f>+'9 Cenário TE'!C10</f>
        <v>1456.1</v>
      </c>
      <c r="E21" s="347">
        <f>+'9 Cenário TE'!C11</f>
        <v>5.6966804248743175E-2</v>
      </c>
      <c r="F21" s="351">
        <f>+D21/D22-1</f>
        <v>-0.6384945208139795</v>
      </c>
    </row>
    <row r="22" spans="1:211" ht="15" x14ac:dyDescent="0.2">
      <c r="B22" s="93" t="s">
        <v>90</v>
      </c>
      <c r="C22" s="184">
        <f>+'8 Parametros Avancados'!$D$17</f>
        <v>12</v>
      </c>
      <c r="D22" s="184">
        <f>+C6</f>
        <v>4027.8780926878621</v>
      </c>
      <c r="E22" s="186">
        <f>+'9 Cenário TE'!D11</f>
        <v>0.10076458859623318</v>
      </c>
      <c r="F22" s="353">
        <f>+D22/D22-1</f>
        <v>0</v>
      </c>
    </row>
    <row r="23" spans="1:211" ht="15" x14ac:dyDescent="0.2">
      <c r="B23" s="25" t="s">
        <v>91</v>
      </c>
      <c r="C23" s="185">
        <f>+'8 Parametros Avancados'!$E$17</f>
        <v>16</v>
      </c>
      <c r="D23" s="109">
        <f>+'9 Cenário TE'!E10</f>
        <v>11355.2</v>
      </c>
      <c r="E23" s="346">
        <f>+'9 Cenário TE'!E11</f>
        <v>0.20106453429280713</v>
      </c>
      <c r="F23" s="352">
        <f>+D23/D22-1</f>
        <v>1.8191518558156039</v>
      </c>
    </row>
    <row r="24" spans="1:211" ht="15" x14ac:dyDescent="0.2">
      <c r="B24" s="89" t="s">
        <v>544</v>
      </c>
      <c r="C24" s="349" t="s">
        <v>543</v>
      </c>
      <c r="D24" s="345">
        <f>+'9 Cenário TE'!F38</f>
        <v>1833.4</v>
      </c>
      <c r="E24" s="348">
        <f>+'9 Cenário TE'!D22</f>
        <v>5.6923922391711353E-2</v>
      </c>
      <c r="F24" s="350">
        <f>+D24/D23-1</f>
        <v>-0.83854093278850217</v>
      </c>
    </row>
    <row r="25" spans="1:211" s="10" customFormat="1" x14ac:dyDescent="0.2"/>
    <row r="26" spans="1:211" x14ac:dyDescent="0.2">
      <c r="B26" s="252" t="s">
        <v>187</v>
      </c>
      <c r="C26" s="252"/>
      <c r="D26" s="252"/>
      <c r="E26" s="252"/>
      <c r="F26" s="252"/>
    </row>
    <row r="27" spans="1:211" s="10" customFormat="1" x14ac:dyDescent="0.2">
      <c r="B27" s="253" t="s">
        <v>188</v>
      </c>
      <c r="C27" s="253"/>
      <c r="D27" s="253"/>
      <c r="E27" s="253"/>
      <c r="F27" s="253"/>
    </row>
    <row r="28" spans="1:211" s="10" customFormat="1" x14ac:dyDescent="0.2">
      <c r="B28" s="253" t="s">
        <v>189</v>
      </c>
      <c r="C28" s="253"/>
      <c r="D28" s="253"/>
      <c r="E28" s="253"/>
      <c r="F28" s="253"/>
    </row>
    <row r="29" spans="1:211" s="10" customFormat="1" x14ac:dyDescent="0.2">
      <c r="B29" s="253" t="s">
        <v>190</v>
      </c>
      <c r="C29" s="253"/>
      <c r="D29" s="253"/>
      <c r="E29" s="253"/>
      <c r="F29" s="253"/>
    </row>
    <row r="30" spans="1:211" s="10" customFormat="1" x14ac:dyDescent="0.2">
      <c r="B30" s="253" t="s">
        <v>191</v>
      </c>
      <c r="C30" s="253"/>
      <c r="D30" s="253"/>
      <c r="E30" s="253"/>
      <c r="F30" s="253"/>
    </row>
    <row r="31" spans="1:211" s="10" customFormat="1" x14ac:dyDescent="0.2">
      <c r="B31" s="253" t="s">
        <v>405</v>
      </c>
      <c r="C31" s="253"/>
      <c r="D31" s="253"/>
      <c r="E31" s="253"/>
      <c r="F31" s="253"/>
    </row>
    <row r="32" spans="1:211" s="10" customFormat="1" x14ac:dyDescent="0.2">
      <c r="B32" s="253" t="s">
        <v>406</v>
      </c>
      <c r="C32" s="253"/>
      <c r="D32" s="253"/>
      <c r="E32" s="253"/>
      <c r="F32" s="253"/>
    </row>
    <row r="33" spans="2:6" s="10" customFormat="1" x14ac:dyDescent="0.2">
      <c r="B33" s="253" t="s">
        <v>432</v>
      </c>
      <c r="C33" s="253"/>
      <c r="D33" s="253"/>
      <c r="E33" s="253"/>
      <c r="F33" s="253"/>
    </row>
    <row r="34" spans="2:6" s="10" customFormat="1" x14ac:dyDescent="0.2">
      <c r="B34" s="253" t="s">
        <v>407</v>
      </c>
      <c r="C34" s="253"/>
      <c r="D34" s="253"/>
      <c r="E34" s="253"/>
      <c r="F34" s="253"/>
    </row>
    <row r="35" spans="2:6" s="10" customFormat="1" x14ac:dyDescent="0.2"/>
    <row r="36" spans="2:6" s="10" customFormat="1" x14ac:dyDescent="0.2"/>
    <row r="37" spans="2:6" s="10" customFormat="1" x14ac:dyDescent="0.2"/>
    <row r="38" spans="2:6" s="10" customFormat="1" x14ac:dyDescent="0.2"/>
    <row r="39" spans="2:6" s="10" customFormat="1" x14ac:dyDescent="0.2"/>
    <row r="40" spans="2:6" s="10" customFormat="1" x14ac:dyDescent="0.2"/>
    <row r="41" spans="2:6" s="10" customFormat="1" x14ac:dyDescent="0.2"/>
    <row r="42" spans="2:6" s="10" customFormat="1" x14ac:dyDescent="0.2"/>
    <row r="43" spans="2:6" s="10" customFormat="1" x14ac:dyDescent="0.2"/>
    <row r="44" spans="2:6" s="10" customFormat="1" x14ac:dyDescent="0.2"/>
    <row r="45" spans="2:6" s="10" customFormat="1" x14ac:dyDescent="0.2"/>
    <row r="46" spans="2:6" s="10" customFormat="1" x14ac:dyDescent="0.2"/>
    <row r="47" spans="2:6" s="10" customFormat="1" x14ac:dyDescent="0.2"/>
    <row r="48" spans="2:6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</sheetData>
  <mergeCells count="12">
    <mergeCell ref="B33:F33"/>
    <mergeCell ref="B34:F34"/>
    <mergeCell ref="B28:F28"/>
    <mergeCell ref="B29:F29"/>
    <mergeCell ref="B30:F30"/>
    <mergeCell ref="B31:F31"/>
    <mergeCell ref="B32:F32"/>
    <mergeCell ref="B1:F1"/>
    <mergeCell ref="B3:F3"/>
    <mergeCell ref="B19:F19"/>
    <mergeCell ref="B26:F26"/>
    <mergeCell ref="B27:F27"/>
  </mergeCells>
  <conditionalFormatting sqref="F21:F24">
    <cfRule type="cellIs" dxfId="3" priority="1" operator="lessThan">
      <formula>0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B6CA8"/>
  </sheetPr>
  <dimension ref="A1:CP583"/>
  <sheetViews>
    <sheetView zoomScaleNormal="100" workbookViewId="0">
      <selection activeCell="C4" sqref="C4"/>
    </sheetView>
  </sheetViews>
  <sheetFormatPr baseColWidth="10" defaultColWidth="8.6640625" defaultRowHeight="14" x14ac:dyDescent="0.2"/>
  <cols>
    <col min="1" max="1" width="5.1640625" style="10" customWidth="1"/>
    <col min="2" max="2" width="19.6640625" style="12" bestFit="1" customWidth="1"/>
    <col min="3" max="3" width="11" style="12" bestFit="1" customWidth="1"/>
    <col min="4" max="4" width="16" style="12" customWidth="1"/>
    <col min="5" max="5" width="23.1640625" style="12" bestFit="1" customWidth="1"/>
    <col min="6" max="8" width="14" style="12" customWidth="1"/>
    <col min="9" max="10" width="16" style="12" customWidth="1"/>
    <col min="11" max="11" width="3.1640625" style="10" customWidth="1"/>
    <col min="12" max="12" width="31.33203125" style="10" customWidth="1"/>
    <col min="13" max="13" width="6.33203125" style="10" bestFit="1" customWidth="1"/>
    <col min="14" max="14" width="8.5" style="10" bestFit="1" customWidth="1"/>
    <col min="15" max="15" width="30.5" style="10" bestFit="1" customWidth="1"/>
    <col min="16" max="94" width="8.6640625" style="10"/>
    <col min="95" max="16384" width="8.6640625" style="12"/>
  </cols>
  <sheetData>
    <row r="1" spans="1:94" s="9" customFormat="1" ht="16" customHeight="1" x14ac:dyDescent="0.2">
      <c r="A1" s="8"/>
      <c r="B1" s="257" t="s">
        <v>408</v>
      </c>
      <c r="C1" s="257"/>
      <c r="D1" s="257"/>
      <c r="E1" s="257"/>
      <c r="F1" s="257"/>
      <c r="G1" s="257"/>
      <c r="H1" s="257"/>
      <c r="I1" s="257"/>
      <c r="J1" s="257"/>
      <c r="K1" s="95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1:94" ht="15" x14ac:dyDescent="0.2">
      <c r="B2" s="264" t="s">
        <v>162</v>
      </c>
      <c r="C2" s="264"/>
      <c r="D2" s="264"/>
      <c r="E2" s="264"/>
      <c r="F2" s="264"/>
      <c r="G2" s="264"/>
      <c r="H2" s="264"/>
      <c r="I2" s="264"/>
      <c r="J2" s="264"/>
      <c r="K2" s="96"/>
      <c r="L2" s="45" t="s">
        <v>152</v>
      </c>
      <c r="M2" s="45"/>
      <c r="N2" s="45"/>
      <c r="O2" s="45"/>
    </row>
    <row r="3" spans="1:94" s="74" customFormat="1" ht="30" x14ac:dyDescent="0.2">
      <c r="A3" s="73"/>
      <c r="B3" s="11" t="s">
        <v>18</v>
      </c>
      <c r="C3" s="11" t="s">
        <v>163</v>
      </c>
      <c r="D3" s="11" t="s">
        <v>164</v>
      </c>
      <c r="E3" s="11" t="s">
        <v>165</v>
      </c>
      <c r="F3" s="11" t="s">
        <v>166</v>
      </c>
      <c r="G3" s="11" t="s">
        <v>167</v>
      </c>
      <c r="H3" s="11" t="s">
        <v>168</v>
      </c>
      <c r="I3" s="11" t="s">
        <v>169</v>
      </c>
      <c r="J3" s="11" t="s">
        <v>170</v>
      </c>
      <c r="K3" s="97"/>
      <c r="L3" s="11" t="s">
        <v>49</v>
      </c>
      <c r="M3" s="11" t="s">
        <v>24</v>
      </c>
      <c r="N3" s="11" t="s">
        <v>50</v>
      </c>
      <c r="O3" s="11" t="s">
        <v>51</v>
      </c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</row>
    <row r="4" spans="1:94" s="10" customFormat="1" ht="15" x14ac:dyDescent="0.2">
      <c r="B4" s="19">
        <v>2022</v>
      </c>
      <c r="C4" s="168">
        <f>('3 Cost Recovery ProfitOil'!M5+'3 Cost Recovery ProfitOil'!T5)*10%</f>
        <v>3.9004862400000002</v>
      </c>
      <c r="D4" s="179">
        <f>+M7</f>
        <v>1356</v>
      </c>
      <c r="E4" s="22">
        <v>0</v>
      </c>
      <c r="F4" s="22">
        <f t="shared" ref="F4:F30" si="0">IF(C4&gt;=E4, MIN(C4-E4, D4), 0)</f>
        <v>3.9004862400000002</v>
      </c>
      <c r="G4" s="22">
        <f t="shared" ref="G4:G30" si="1">+IF(C4&lt;E4, E4-C4, 0)</f>
        <v>0</v>
      </c>
      <c r="H4" s="22">
        <f t="shared" ref="H4" si="2">+D4-F4+G4</f>
        <v>1352.09951376</v>
      </c>
      <c r="I4" s="22">
        <f t="shared" ref="I4:I30" si="3">IF(D4=0, C4, IF(C4&gt;E4, C4-E4-F4, 0))</f>
        <v>0</v>
      </c>
      <c r="J4" s="22">
        <f>I4</f>
        <v>0</v>
      </c>
      <c r="L4" s="98" t="s">
        <v>153</v>
      </c>
      <c r="M4" s="99">
        <f>+'8 Parametros Avancados'!D15</f>
        <v>0.1</v>
      </c>
      <c r="N4" s="100" t="s">
        <v>22</v>
      </c>
      <c r="O4" s="44" t="s">
        <v>72</v>
      </c>
    </row>
    <row r="5" spans="1:94" s="10" customFormat="1" ht="15" x14ac:dyDescent="0.2">
      <c r="B5" s="19">
        <v>2023</v>
      </c>
      <c r="C5" s="168">
        <f>('3 Cost Recovery ProfitOil'!M6+'3 Cost Recovery ProfitOil'!T6)*10%</f>
        <v>121.62151272425001</v>
      </c>
      <c r="D5" s="179">
        <f>+H4</f>
        <v>1352.09951376</v>
      </c>
      <c r="E5" s="22">
        <f>+D5*$M$8</f>
        <v>81.125970825599993</v>
      </c>
      <c r="F5" s="22">
        <f t="shared" si="0"/>
        <v>40.495541898650018</v>
      </c>
      <c r="G5" s="22">
        <f t="shared" si="1"/>
        <v>0</v>
      </c>
      <c r="H5" s="22">
        <v>1315.7380000000001</v>
      </c>
      <c r="I5" s="22">
        <f t="shared" si="3"/>
        <v>0</v>
      </c>
      <c r="J5" s="22">
        <f t="shared" ref="J5:J30" si="4">J4+I5</f>
        <v>0</v>
      </c>
      <c r="L5" s="98" t="s">
        <v>107</v>
      </c>
      <c r="M5" s="61">
        <f>+'1 Premissas'!C59</f>
        <v>551</v>
      </c>
      <c r="N5" s="100" t="s">
        <v>21</v>
      </c>
      <c r="O5" s="44" t="s">
        <v>154</v>
      </c>
    </row>
    <row r="6" spans="1:94" s="10" customFormat="1" ht="15" x14ac:dyDescent="0.2">
      <c r="B6" s="19">
        <v>2024</v>
      </c>
      <c r="C6" s="168">
        <f>('3 Cost Recovery ProfitOil'!M7+'3 Cost Recovery ProfitOil'!T7)*10%</f>
        <v>155.94171585300001</v>
      </c>
      <c r="D6" s="179">
        <f t="shared" ref="D6:D30" si="5">+H5</f>
        <v>1315.7380000000001</v>
      </c>
      <c r="E6" s="22">
        <f t="shared" ref="E6:E30" si="6">+D6*$M$8</f>
        <v>78.944280000000006</v>
      </c>
      <c r="F6" s="22">
        <f t="shared" si="0"/>
        <v>76.997435852999999</v>
      </c>
      <c r="G6" s="22">
        <f t="shared" si="1"/>
        <v>0</v>
      </c>
      <c r="H6" s="22">
        <v>1238.741</v>
      </c>
      <c r="I6" s="22">
        <f t="shared" si="3"/>
        <v>0</v>
      </c>
      <c r="J6" s="22">
        <f t="shared" si="4"/>
        <v>0</v>
      </c>
      <c r="L6" s="98" t="s">
        <v>109</v>
      </c>
      <c r="M6" s="61">
        <f>+'1 Premissas'!C60</f>
        <v>805</v>
      </c>
      <c r="N6" s="100" t="s">
        <v>21</v>
      </c>
      <c r="O6" s="44" t="s">
        <v>154</v>
      </c>
    </row>
    <row r="7" spans="1:94" s="10" customFormat="1" ht="15" x14ac:dyDescent="0.2">
      <c r="B7" s="19">
        <v>2025</v>
      </c>
      <c r="C7" s="168">
        <f>('3 Cost Recovery ProfitOil'!M8+'3 Cost Recovery ProfitOil'!T8)*10%</f>
        <v>149.4426686445</v>
      </c>
      <c r="D7" s="179">
        <f t="shared" si="5"/>
        <v>1238.741</v>
      </c>
      <c r="E7" s="22">
        <f t="shared" si="6"/>
        <v>74.324460000000002</v>
      </c>
      <c r="F7" s="22">
        <f t="shared" si="0"/>
        <v>75.118208644500001</v>
      </c>
      <c r="G7" s="22">
        <f t="shared" si="1"/>
        <v>0</v>
      </c>
      <c r="H7" s="22">
        <v>1163.623</v>
      </c>
      <c r="I7" s="22">
        <f t="shared" si="3"/>
        <v>0</v>
      </c>
      <c r="J7" s="22">
        <f t="shared" si="4"/>
        <v>0</v>
      </c>
      <c r="L7" s="98" t="s">
        <v>110</v>
      </c>
      <c r="M7" s="61">
        <f>SUM(M5:M6)</f>
        <v>1356</v>
      </c>
      <c r="N7" s="100" t="s">
        <v>21</v>
      </c>
      <c r="O7" s="44" t="s">
        <v>111</v>
      </c>
    </row>
    <row r="8" spans="1:94" s="10" customFormat="1" ht="15" x14ac:dyDescent="0.2">
      <c r="B8" s="24">
        <v>2026</v>
      </c>
      <c r="C8" s="169">
        <f>('3 Cost Recovery ProfitOil'!M9+'3 Cost Recovery ProfitOil'!T9)*10%</f>
        <v>194.20404465000001</v>
      </c>
      <c r="D8" s="180">
        <f t="shared" si="5"/>
        <v>1163.623</v>
      </c>
      <c r="E8" s="27">
        <f t="shared" si="6"/>
        <v>69.81738</v>
      </c>
      <c r="F8" s="27">
        <f t="shared" si="0"/>
        <v>124.38666465000001</v>
      </c>
      <c r="G8" s="27">
        <f t="shared" si="1"/>
        <v>0</v>
      </c>
      <c r="H8" s="27">
        <v>1039.2360000000001</v>
      </c>
      <c r="I8" s="27">
        <f t="shared" si="3"/>
        <v>0</v>
      </c>
      <c r="J8" s="27">
        <f t="shared" si="4"/>
        <v>0</v>
      </c>
      <c r="L8" s="98" t="s">
        <v>112</v>
      </c>
      <c r="M8" s="99">
        <f>+'8 Parametros Avancados'!D16</f>
        <v>0.06</v>
      </c>
      <c r="N8" s="100" t="s">
        <v>22</v>
      </c>
      <c r="O8" s="44" t="s">
        <v>113</v>
      </c>
    </row>
    <row r="9" spans="1:94" s="10" customFormat="1" ht="16" customHeight="1" x14ac:dyDescent="0.2">
      <c r="B9" s="24">
        <v>2027</v>
      </c>
      <c r="C9" s="169">
        <f>('3 Cost Recovery ProfitOil'!M10+'3 Cost Recovery ProfitOil'!T10)*10%</f>
        <v>198.92633145000002</v>
      </c>
      <c r="D9" s="180">
        <f t="shared" si="5"/>
        <v>1039.2360000000001</v>
      </c>
      <c r="E9" s="27">
        <f t="shared" si="6"/>
        <v>62.354160000000007</v>
      </c>
      <c r="F9" s="27">
        <f t="shared" si="0"/>
        <v>136.57217145000001</v>
      </c>
      <c r="G9" s="27">
        <f t="shared" si="1"/>
        <v>0</v>
      </c>
      <c r="H9" s="27">
        <v>902.98</v>
      </c>
      <c r="I9" s="27">
        <f t="shared" si="3"/>
        <v>0</v>
      </c>
      <c r="J9" s="27">
        <f t="shared" si="4"/>
        <v>0</v>
      </c>
    </row>
    <row r="10" spans="1:94" ht="14" customHeight="1" x14ac:dyDescent="0.2">
      <c r="B10" s="24">
        <v>2028</v>
      </c>
      <c r="C10" s="169">
        <f>('3 Cost Recovery ProfitOil'!M11+'3 Cost Recovery ProfitOil'!T11)*10%</f>
        <v>198.92633145000002</v>
      </c>
      <c r="D10" s="180">
        <f t="shared" si="5"/>
        <v>902.98</v>
      </c>
      <c r="E10" s="27">
        <f t="shared" si="6"/>
        <v>54.178800000000003</v>
      </c>
      <c r="F10" s="27">
        <f t="shared" si="0"/>
        <v>144.74753145000003</v>
      </c>
      <c r="G10" s="27">
        <f t="shared" si="1"/>
        <v>0</v>
      </c>
      <c r="H10" s="27">
        <v>719.8</v>
      </c>
      <c r="I10" s="27">
        <f t="shared" si="3"/>
        <v>0</v>
      </c>
      <c r="J10" s="27">
        <f t="shared" si="4"/>
        <v>0</v>
      </c>
      <c r="L10" s="265" t="s">
        <v>155</v>
      </c>
      <c r="M10" s="265"/>
      <c r="N10" s="265"/>
      <c r="O10" s="265"/>
    </row>
    <row r="11" spans="1:94" s="10" customFormat="1" ht="15" customHeight="1" x14ac:dyDescent="0.2">
      <c r="B11" s="24">
        <v>2029</v>
      </c>
      <c r="C11" s="169">
        <f>('3 Cost Recovery ProfitOil'!M12+'3 Cost Recovery ProfitOil'!T12)*10%</f>
        <v>198.92633145000002</v>
      </c>
      <c r="D11" s="180">
        <f t="shared" si="5"/>
        <v>719.8</v>
      </c>
      <c r="E11" s="27">
        <f t="shared" si="6"/>
        <v>43.187999999999995</v>
      </c>
      <c r="F11" s="27">
        <f t="shared" si="0"/>
        <v>155.73833145000003</v>
      </c>
      <c r="G11" s="27">
        <f t="shared" si="1"/>
        <v>0</v>
      </c>
      <c r="H11" s="27">
        <v>577.18299999999999</v>
      </c>
      <c r="I11" s="27">
        <f t="shared" si="3"/>
        <v>0</v>
      </c>
      <c r="J11" s="27">
        <f t="shared" si="4"/>
        <v>0</v>
      </c>
      <c r="L11" s="261" t="s">
        <v>156</v>
      </c>
      <c r="M11" s="261"/>
      <c r="N11" s="261"/>
      <c r="O11" s="261"/>
    </row>
    <row r="12" spans="1:94" s="10" customFormat="1" ht="15" customHeight="1" x14ac:dyDescent="0.2">
      <c r="B12" s="24">
        <v>2030</v>
      </c>
      <c r="C12" s="169">
        <f>('3 Cost Recovery ProfitOil'!M13+'3 Cost Recovery ProfitOil'!T13)*10%</f>
        <v>198.92633145000002</v>
      </c>
      <c r="D12" s="180">
        <f t="shared" si="5"/>
        <v>577.18299999999999</v>
      </c>
      <c r="E12" s="27">
        <f t="shared" si="6"/>
        <v>34.630980000000001</v>
      </c>
      <c r="F12" s="27">
        <f t="shared" si="0"/>
        <v>164.29535145000003</v>
      </c>
      <c r="G12" s="27">
        <f t="shared" si="1"/>
        <v>0</v>
      </c>
      <c r="H12" s="27">
        <v>432.62299999999999</v>
      </c>
      <c r="I12" s="27">
        <f t="shared" si="3"/>
        <v>0</v>
      </c>
      <c r="J12" s="27">
        <f t="shared" si="4"/>
        <v>0</v>
      </c>
      <c r="L12" s="261" t="s">
        <v>157</v>
      </c>
      <c r="M12" s="261"/>
      <c r="N12" s="261"/>
      <c r="O12" s="261"/>
    </row>
    <row r="13" spans="1:94" s="10" customFormat="1" ht="15" customHeight="1" x14ac:dyDescent="0.2">
      <c r="B13" s="24">
        <v>2031</v>
      </c>
      <c r="C13" s="169">
        <f>('3 Cost Recovery ProfitOil'!M14+'3 Cost Recovery ProfitOil'!T14)*10%</f>
        <v>198.92633145000002</v>
      </c>
      <c r="D13" s="180">
        <f t="shared" si="5"/>
        <v>432.62299999999999</v>
      </c>
      <c r="E13" s="27">
        <f t="shared" si="6"/>
        <v>25.957379999999997</v>
      </c>
      <c r="F13" s="27">
        <f t="shared" si="0"/>
        <v>172.96895145000002</v>
      </c>
      <c r="G13" s="27">
        <f t="shared" si="1"/>
        <v>0</v>
      </c>
      <c r="H13" s="27">
        <v>279.06799999999998</v>
      </c>
      <c r="I13" s="27">
        <f t="shared" si="3"/>
        <v>0</v>
      </c>
      <c r="J13" s="27">
        <f t="shared" si="4"/>
        <v>0</v>
      </c>
      <c r="L13" s="261" t="s">
        <v>158</v>
      </c>
      <c r="M13" s="261"/>
      <c r="N13" s="261"/>
      <c r="O13" s="261"/>
    </row>
    <row r="14" spans="1:94" s="10" customFormat="1" ht="15" customHeight="1" x14ac:dyDescent="0.2">
      <c r="B14" s="24">
        <v>2032</v>
      </c>
      <c r="C14" s="169">
        <f>('3 Cost Recovery ProfitOil'!M15+'3 Cost Recovery ProfitOil'!T15)*10%</f>
        <v>198.92633145000002</v>
      </c>
      <c r="D14" s="180">
        <f t="shared" si="5"/>
        <v>279.06799999999998</v>
      </c>
      <c r="E14" s="27">
        <f t="shared" si="6"/>
        <v>16.744079999999997</v>
      </c>
      <c r="F14" s="27">
        <f t="shared" si="0"/>
        <v>182.18225145000002</v>
      </c>
      <c r="G14" s="27">
        <f t="shared" si="1"/>
        <v>0</v>
      </c>
      <c r="H14" s="27">
        <v>115.97199999999999</v>
      </c>
      <c r="I14" s="27">
        <f t="shared" si="3"/>
        <v>0</v>
      </c>
      <c r="J14" s="27">
        <f t="shared" si="4"/>
        <v>0</v>
      </c>
      <c r="L14" s="261" t="s">
        <v>159</v>
      </c>
      <c r="M14" s="261"/>
      <c r="N14" s="261"/>
      <c r="O14" s="261"/>
    </row>
    <row r="15" spans="1:94" s="10" customFormat="1" ht="15" customHeight="1" x14ac:dyDescent="0.2">
      <c r="B15" s="24">
        <v>2033</v>
      </c>
      <c r="C15" s="169">
        <f>('3 Cost Recovery ProfitOil'!M16+'3 Cost Recovery ProfitOil'!T16)*10%</f>
        <v>198.92633145000002</v>
      </c>
      <c r="D15" s="180">
        <f t="shared" si="5"/>
        <v>115.97199999999999</v>
      </c>
      <c r="E15" s="27">
        <f t="shared" si="6"/>
        <v>6.9583199999999996</v>
      </c>
      <c r="F15" s="27">
        <f t="shared" si="0"/>
        <v>115.97199999999999</v>
      </c>
      <c r="G15" s="27">
        <f t="shared" si="1"/>
        <v>0</v>
      </c>
      <c r="H15" s="27">
        <v>0</v>
      </c>
      <c r="I15" s="27">
        <f t="shared" si="3"/>
        <v>75.99601145000004</v>
      </c>
      <c r="J15" s="27">
        <f t="shared" si="4"/>
        <v>75.99601145000004</v>
      </c>
      <c r="L15" s="261" t="s">
        <v>160</v>
      </c>
      <c r="M15" s="261"/>
      <c r="N15" s="261"/>
      <c r="O15" s="261"/>
    </row>
    <row r="16" spans="1:94" s="10" customFormat="1" ht="15" customHeight="1" x14ac:dyDescent="0.2">
      <c r="B16" s="29">
        <v>2034</v>
      </c>
      <c r="C16" s="170">
        <f>('3 Cost Recovery ProfitOil'!M17+'3 Cost Recovery ProfitOil'!T17)*10%</f>
        <v>185.00148824850004</v>
      </c>
      <c r="D16" s="181">
        <f t="shared" si="5"/>
        <v>0</v>
      </c>
      <c r="E16" s="1">
        <f t="shared" si="6"/>
        <v>0</v>
      </c>
      <c r="F16" s="1">
        <f t="shared" si="0"/>
        <v>0</v>
      </c>
      <c r="G16" s="1">
        <f t="shared" si="1"/>
        <v>0</v>
      </c>
      <c r="H16" s="1">
        <v>0</v>
      </c>
      <c r="I16" s="1">
        <f t="shared" si="3"/>
        <v>185.00148824850004</v>
      </c>
      <c r="J16" s="1">
        <f t="shared" si="4"/>
        <v>260.99749969850006</v>
      </c>
      <c r="L16" s="261" t="s">
        <v>161</v>
      </c>
      <c r="M16" s="261"/>
      <c r="N16" s="261"/>
      <c r="O16" s="261"/>
    </row>
    <row r="17" spans="2:11" s="10" customFormat="1" x14ac:dyDescent="0.2">
      <c r="B17" s="29">
        <v>2035</v>
      </c>
      <c r="C17" s="170">
        <f>('3 Cost Recovery ProfitOil'!M18+'3 Cost Recovery ProfitOil'!T18)*10%</f>
        <v>167.58251695237502</v>
      </c>
      <c r="D17" s="181">
        <f t="shared" si="5"/>
        <v>0</v>
      </c>
      <c r="E17" s="1">
        <f t="shared" si="6"/>
        <v>0</v>
      </c>
      <c r="F17" s="1">
        <f t="shared" si="0"/>
        <v>0</v>
      </c>
      <c r="G17" s="1">
        <f t="shared" si="1"/>
        <v>0</v>
      </c>
      <c r="H17" s="1">
        <v>0</v>
      </c>
      <c r="I17" s="1">
        <f t="shared" si="3"/>
        <v>167.58251695237502</v>
      </c>
      <c r="J17" s="1">
        <f t="shared" si="4"/>
        <v>428.58001665087511</v>
      </c>
    </row>
    <row r="18" spans="2:11" ht="15" customHeight="1" x14ac:dyDescent="0.2">
      <c r="B18" s="29">
        <v>2036</v>
      </c>
      <c r="C18" s="170">
        <f>('3 Cost Recovery ProfitOil'!M19+'3 Cost Recovery ProfitOil'!T19)*10%</f>
        <v>155.85174076570877</v>
      </c>
      <c r="D18" s="181">
        <f t="shared" si="5"/>
        <v>0</v>
      </c>
      <c r="E18" s="1">
        <f t="shared" si="6"/>
        <v>0</v>
      </c>
      <c r="F18" s="1">
        <f t="shared" si="0"/>
        <v>0</v>
      </c>
      <c r="G18" s="1">
        <f t="shared" si="1"/>
        <v>0</v>
      </c>
      <c r="H18" s="1">
        <v>0</v>
      </c>
      <c r="I18" s="1">
        <f t="shared" si="3"/>
        <v>155.85174076570877</v>
      </c>
      <c r="J18" s="1">
        <f t="shared" si="4"/>
        <v>584.43175741658388</v>
      </c>
    </row>
    <row r="19" spans="2:11" x14ac:dyDescent="0.2">
      <c r="B19" s="29">
        <v>2037</v>
      </c>
      <c r="C19" s="170">
        <f>('3 Cost Recovery ProfitOil'!M20+'3 Cost Recovery ProfitOil'!T20)*10%</f>
        <v>144.94211891210907</v>
      </c>
      <c r="D19" s="181">
        <f t="shared" si="5"/>
        <v>0</v>
      </c>
      <c r="E19" s="1">
        <f t="shared" si="6"/>
        <v>0</v>
      </c>
      <c r="F19" s="1">
        <f t="shared" si="0"/>
        <v>0</v>
      </c>
      <c r="G19" s="1">
        <f t="shared" si="1"/>
        <v>0</v>
      </c>
      <c r="H19" s="1">
        <v>0</v>
      </c>
      <c r="I19" s="1">
        <f t="shared" si="3"/>
        <v>144.94211891210907</v>
      </c>
      <c r="J19" s="1">
        <f t="shared" si="4"/>
        <v>729.37387632869297</v>
      </c>
    </row>
    <row r="20" spans="2:11" x14ac:dyDescent="0.2">
      <c r="B20" s="29">
        <v>2038</v>
      </c>
      <c r="C20" s="170">
        <f>('3 Cost Recovery ProfitOil'!M21+'3 Cost Recovery ProfitOil'!T21)*10%</f>
        <v>134.79617058826145</v>
      </c>
      <c r="D20" s="181">
        <f t="shared" si="5"/>
        <v>0</v>
      </c>
      <c r="E20" s="1">
        <f t="shared" si="6"/>
        <v>0</v>
      </c>
      <c r="F20" s="1">
        <f t="shared" si="0"/>
        <v>0</v>
      </c>
      <c r="G20" s="1">
        <f t="shared" si="1"/>
        <v>0</v>
      </c>
      <c r="H20" s="1">
        <v>0</v>
      </c>
      <c r="I20" s="1">
        <f t="shared" si="3"/>
        <v>134.79617058826145</v>
      </c>
      <c r="J20" s="1">
        <f t="shared" si="4"/>
        <v>864.17004691695445</v>
      </c>
      <c r="K20" s="101"/>
    </row>
    <row r="21" spans="2:11" x14ac:dyDescent="0.2">
      <c r="B21" s="29">
        <v>2039</v>
      </c>
      <c r="C21" s="170">
        <f>('3 Cost Recovery ProfitOil'!M22+'3 Cost Recovery ProfitOil'!T22)*10%</f>
        <v>125.36043864708316</v>
      </c>
      <c r="D21" s="181">
        <f t="shared" si="5"/>
        <v>0</v>
      </c>
      <c r="E21" s="1">
        <f t="shared" si="6"/>
        <v>0</v>
      </c>
      <c r="F21" s="1">
        <f t="shared" si="0"/>
        <v>0</v>
      </c>
      <c r="G21" s="1">
        <f t="shared" si="1"/>
        <v>0</v>
      </c>
      <c r="H21" s="1">
        <v>0</v>
      </c>
      <c r="I21" s="1">
        <f t="shared" si="3"/>
        <v>125.36043864708316</v>
      </c>
      <c r="J21" s="1">
        <f t="shared" si="4"/>
        <v>989.53048556403758</v>
      </c>
      <c r="K21" s="101"/>
    </row>
    <row r="22" spans="2:11" x14ac:dyDescent="0.2">
      <c r="B22" s="29">
        <v>2040</v>
      </c>
      <c r="C22" s="170">
        <f>('3 Cost Recovery ProfitOil'!M23+'3 Cost Recovery ProfitOil'!T23)*10%</f>
        <v>116.58520794178733</v>
      </c>
      <c r="D22" s="181">
        <f t="shared" si="5"/>
        <v>0</v>
      </c>
      <c r="E22" s="1">
        <f t="shared" si="6"/>
        <v>0</v>
      </c>
      <c r="F22" s="1">
        <f t="shared" si="0"/>
        <v>0</v>
      </c>
      <c r="G22" s="1">
        <f t="shared" si="1"/>
        <v>0</v>
      </c>
      <c r="H22" s="1">
        <v>0</v>
      </c>
      <c r="I22" s="1">
        <f t="shared" si="3"/>
        <v>116.58520794178733</v>
      </c>
      <c r="J22" s="1">
        <f t="shared" si="4"/>
        <v>1106.115693505825</v>
      </c>
      <c r="K22" s="101"/>
    </row>
    <row r="23" spans="2:11" x14ac:dyDescent="0.2">
      <c r="B23" s="29">
        <v>2041</v>
      </c>
      <c r="C23" s="170">
        <f>('3 Cost Recovery ProfitOil'!M24+'3 Cost Recovery ProfitOil'!T24)*10%</f>
        <v>108.42424338586221</v>
      </c>
      <c r="D23" s="181">
        <f t="shared" si="5"/>
        <v>0</v>
      </c>
      <c r="E23" s="1">
        <f t="shared" si="6"/>
        <v>0</v>
      </c>
      <c r="F23" s="1">
        <f t="shared" si="0"/>
        <v>0</v>
      </c>
      <c r="G23" s="1">
        <f t="shared" si="1"/>
        <v>0</v>
      </c>
      <c r="H23" s="1">
        <v>0</v>
      </c>
      <c r="I23" s="1">
        <f t="shared" si="3"/>
        <v>108.42424338586221</v>
      </c>
      <c r="J23" s="1">
        <f t="shared" si="4"/>
        <v>1214.5399368916871</v>
      </c>
      <c r="K23" s="101"/>
    </row>
    <row r="24" spans="2:11" x14ac:dyDescent="0.2">
      <c r="B24" s="29">
        <v>2042</v>
      </c>
      <c r="C24" s="170">
        <f>('3 Cost Recovery ProfitOil'!M25+'3 Cost Recovery ProfitOil'!T25)*10%</f>
        <v>100.83454634885182</v>
      </c>
      <c r="D24" s="181">
        <f t="shared" si="5"/>
        <v>0</v>
      </c>
      <c r="E24" s="1">
        <f t="shared" si="6"/>
        <v>0</v>
      </c>
      <c r="F24" s="1">
        <f t="shared" si="0"/>
        <v>0</v>
      </c>
      <c r="G24" s="1">
        <f t="shared" si="1"/>
        <v>0</v>
      </c>
      <c r="H24" s="1">
        <v>0</v>
      </c>
      <c r="I24" s="1">
        <f t="shared" si="3"/>
        <v>100.83454634885182</v>
      </c>
      <c r="J24" s="1">
        <f t="shared" si="4"/>
        <v>1315.3744832405389</v>
      </c>
      <c r="K24" s="102"/>
    </row>
    <row r="25" spans="2:11" x14ac:dyDescent="0.2">
      <c r="B25" s="29">
        <v>2043</v>
      </c>
      <c r="C25" s="170">
        <f>('3 Cost Recovery ProfitOil'!M26+'3 Cost Recovery ProfitOil'!T26)*10%</f>
        <v>93.776128104432189</v>
      </c>
      <c r="D25" s="181">
        <f t="shared" si="5"/>
        <v>0</v>
      </c>
      <c r="E25" s="1">
        <f t="shared" si="6"/>
        <v>0</v>
      </c>
      <c r="F25" s="1">
        <f t="shared" si="0"/>
        <v>0</v>
      </c>
      <c r="G25" s="1">
        <f t="shared" si="1"/>
        <v>0</v>
      </c>
      <c r="H25" s="1">
        <v>0</v>
      </c>
      <c r="I25" s="1">
        <f t="shared" si="3"/>
        <v>93.776128104432189</v>
      </c>
      <c r="J25" s="1">
        <f t="shared" si="4"/>
        <v>1409.1506113449711</v>
      </c>
      <c r="K25" s="102"/>
    </row>
    <row r="26" spans="2:11" x14ac:dyDescent="0.2">
      <c r="B26" s="29">
        <v>2044</v>
      </c>
      <c r="C26" s="170">
        <f>('3 Cost Recovery ProfitOil'!M27+'3 Cost Recovery ProfitOil'!T27)*10%</f>
        <v>87.211799137121943</v>
      </c>
      <c r="D26" s="181">
        <f t="shared" si="5"/>
        <v>0</v>
      </c>
      <c r="E26" s="1">
        <f t="shared" si="6"/>
        <v>0</v>
      </c>
      <c r="F26" s="1">
        <f t="shared" si="0"/>
        <v>0</v>
      </c>
      <c r="G26" s="1">
        <f t="shared" si="1"/>
        <v>0</v>
      </c>
      <c r="H26" s="1">
        <v>0</v>
      </c>
      <c r="I26" s="1">
        <f t="shared" si="3"/>
        <v>87.211799137121943</v>
      </c>
      <c r="J26" s="1">
        <f t="shared" si="4"/>
        <v>1496.3624104820931</v>
      </c>
      <c r="K26" s="102"/>
    </row>
    <row r="27" spans="2:11" x14ac:dyDescent="0.2">
      <c r="B27" s="29">
        <v>2045</v>
      </c>
      <c r="C27" s="170">
        <f>('3 Cost Recovery ProfitOil'!M28+'3 Cost Recovery ProfitOil'!T28)*10%</f>
        <v>81.106973197523388</v>
      </c>
      <c r="D27" s="181">
        <f t="shared" si="5"/>
        <v>0</v>
      </c>
      <c r="E27" s="1">
        <f t="shared" si="6"/>
        <v>0</v>
      </c>
      <c r="F27" s="1">
        <f t="shared" si="0"/>
        <v>0</v>
      </c>
      <c r="G27" s="1">
        <f t="shared" si="1"/>
        <v>0</v>
      </c>
      <c r="H27" s="1">
        <v>0</v>
      </c>
      <c r="I27" s="1">
        <f t="shared" si="3"/>
        <v>81.106973197523388</v>
      </c>
      <c r="J27" s="1">
        <f t="shared" si="4"/>
        <v>1577.4693836796164</v>
      </c>
      <c r="K27" s="102"/>
    </row>
    <row r="28" spans="2:11" x14ac:dyDescent="0.2">
      <c r="B28" s="29">
        <v>2046</v>
      </c>
      <c r="C28" s="170">
        <f>('3 Cost Recovery ProfitOil'!M29+'3 Cost Recovery ProfitOil'!T29)*10%</f>
        <v>75.429485073696767</v>
      </c>
      <c r="D28" s="181">
        <f t="shared" si="5"/>
        <v>0</v>
      </c>
      <c r="E28" s="1">
        <f t="shared" si="6"/>
        <v>0</v>
      </c>
      <c r="F28" s="1">
        <f t="shared" si="0"/>
        <v>0</v>
      </c>
      <c r="G28" s="1">
        <f t="shared" si="1"/>
        <v>0</v>
      </c>
      <c r="H28" s="1">
        <v>0</v>
      </c>
      <c r="I28" s="1">
        <f t="shared" si="3"/>
        <v>75.429485073696767</v>
      </c>
      <c r="J28" s="1">
        <f t="shared" si="4"/>
        <v>1652.8988687533131</v>
      </c>
      <c r="K28" s="102"/>
    </row>
    <row r="29" spans="2:11" x14ac:dyDescent="0.2">
      <c r="B29" s="29">
        <v>2047</v>
      </c>
      <c r="C29" s="170">
        <f>('3 Cost Recovery ProfitOil'!M30+'3 Cost Recovery ProfitOil'!T30)*10%</f>
        <v>70.149421118537973</v>
      </c>
      <c r="D29" s="181">
        <f t="shared" si="5"/>
        <v>0</v>
      </c>
      <c r="E29" s="1">
        <f t="shared" si="6"/>
        <v>0</v>
      </c>
      <c r="F29" s="1">
        <f t="shared" si="0"/>
        <v>0</v>
      </c>
      <c r="G29" s="1">
        <f t="shared" si="1"/>
        <v>0</v>
      </c>
      <c r="H29" s="1">
        <v>0</v>
      </c>
      <c r="I29" s="1">
        <f t="shared" si="3"/>
        <v>70.149421118537973</v>
      </c>
      <c r="J29" s="1">
        <f t="shared" si="4"/>
        <v>1723.048289871851</v>
      </c>
      <c r="K29" s="102"/>
    </row>
    <row r="30" spans="2:11" x14ac:dyDescent="0.2">
      <c r="B30" s="29">
        <v>2048</v>
      </c>
      <c r="C30" s="170">
        <f>('3 Cost Recovery ProfitOil'!M31+'3 Cost Recovery ProfitOil'!T31)*10%</f>
        <v>65.238961640240319</v>
      </c>
      <c r="D30" s="181">
        <f t="shared" si="5"/>
        <v>0</v>
      </c>
      <c r="E30" s="1">
        <f t="shared" si="6"/>
        <v>0</v>
      </c>
      <c r="F30" s="1">
        <f t="shared" si="0"/>
        <v>0</v>
      </c>
      <c r="G30" s="1">
        <f t="shared" si="1"/>
        <v>0</v>
      </c>
      <c r="H30" s="1">
        <v>0</v>
      </c>
      <c r="I30" s="1">
        <f t="shared" si="3"/>
        <v>65.238961640240319</v>
      </c>
      <c r="J30" s="1">
        <f t="shared" si="4"/>
        <v>1788.2872515120914</v>
      </c>
      <c r="K30" s="102"/>
    </row>
    <row r="31" spans="2:11" ht="15" x14ac:dyDescent="0.2">
      <c r="B31" s="47" t="s">
        <v>32</v>
      </c>
      <c r="C31" s="33">
        <f>SUM(C4:C30)</f>
        <v>3729.8859883238415</v>
      </c>
      <c r="D31" s="10"/>
      <c r="E31" s="33">
        <f>SUM(E4:E30)</f>
        <v>548.22381082559991</v>
      </c>
      <c r="F31" s="33">
        <f>SUM(F4:F30)</f>
        <v>1393.3749259861499</v>
      </c>
      <c r="G31" s="10"/>
      <c r="H31" s="10"/>
      <c r="I31" s="33">
        <f>SUM(I4:I30)</f>
        <v>1788.2872515120914</v>
      </c>
      <c r="J31" s="10"/>
      <c r="K31" s="102"/>
    </row>
    <row r="32" spans="2:11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3"/>
    </row>
    <row r="33" spans="2:11" ht="50" customHeight="1" x14ac:dyDescent="0.2">
      <c r="B33" s="263" t="s">
        <v>545</v>
      </c>
      <c r="C33" s="263"/>
      <c r="D33" s="263"/>
      <c r="E33" s="263"/>
      <c r="F33" s="263"/>
      <c r="G33" s="263"/>
      <c r="H33" s="263"/>
      <c r="I33" s="263"/>
      <c r="J33" s="263"/>
      <c r="K33" s="103"/>
    </row>
    <row r="34" spans="2:11" s="10" customFormat="1" x14ac:dyDescent="0.2">
      <c r="K34" s="103"/>
    </row>
    <row r="35" spans="2:11" s="10" customFormat="1" x14ac:dyDescent="0.2">
      <c r="K35" s="103"/>
    </row>
    <row r="36" spans="2:11" s="10" customFormat="1" x14ac:dyDescent="0.2">
      <c r="K36" s="103"/>
    </row>
    <row r="37" spans="2:11" s="10" customFormat="1" x14ac:dyDescent="0.2">
      <c r="K37" s="103"/>
    </row>
    <row r="38" spans="2:11" s="10" customFormat="1" x14ac:dyDescent="0.2">
      <c r="K38" s="103"/>
    </row>
    <row r="39" spans="2:11" s="10" customFormat="1" x14ac:dyDescent="0.2">
      <c r="K39" s="103"/>
    </row>
    <row r="40" spans="2:11" s="10" customFormat="1" x14ac:dyDescent="0.2">
      <c r="K40" s="103"/>
    </row>
    <row r="41" spans="2:11" s="10" customFormat="1" x14ac:dyDescent="0.2">
      <c r="K41" s="103"/>
    </row>
    <row r="42" spans="2:11" s="10" customFormat="1" x14ac:dyDescent="0.2">
      <c r="K42" s="103"/>
    </row>
    <row r="43" spans="2:11" s="10" customFormat="1" x14ac:dyDescent="0.2">
      <c r="K43" s="103"/>
    </row>
    <row r="44" spans="2:11" s="10" customFormat="1" x14ac:dyDescent="0.2">
      <c r="K44" s="103"/>
    </row>
    <row r="45" spans="2:11" s="10" customFormat="1" x14ac:dyDescent="0.2">
      <c r="K45" s="103"/>
    </row>
    <row r="46" spans="2:11" s="10" customFormat="1" x14ac:dyDescent="0.2">
      <c r="K46" s="103"/>
    </row>
    <row r="47" spans="2:11" s="10" customFormat="1" x14ac:dyDescent="0.2"/>
    <row r="48" spans="2:11" s="10" customFormat="1" x14ac:dyDescent="0.2"/>
    <row r="49" spans="11:11" s="10" customFormat="1" x14ac:dyDescent="0.2">
      <c r="K49" s="104"/>
    </row>
    <row r="50" spans="11:11" s="10" customFormat="1" x14ac:dyDescent="0.2"/>
    <row r="51" spans="11:11" s="10" customFormat="1" x14ac:dyDescent="0.2"/>
    <row r="52" spans="11:11" s="10" customFormat="1" x14ac:dyDescent="0.2"/>
    <row r="53" spans="11:11" s="10" customFormat="1" x14ac:dyDescent="0.2"/>
    <row r="54" spans="11:11" s="10" customFormat="1" x14ac:dyDescent="0.2"/>
    <row r="55" spans="11:11" s="10" customFormat="1" x14ac:dyDescent="0.2"/>
    <row r="56" spans="11:11" s="10" customFormat="1" x14ac:dyDescent="0.2"/>
    <row r="57" spans="11:11" s="10" customFormat="1" x14ac:dyDescent="0.2"/>
    <row r="58" spans="11:11" s="10" customFormat="1" x14ac:dyDescent="0.2"/>
    <row r="59" spans="11:11" s="10" customFormat="1" x14ac:dyDescent="0.2"/>
    <row r="60" spans="11:11" s="10" customFormat="1" x14ac:dyDescent="0.2"/>
    <row r="61" spans="11:11" s="10" customFormat="1" x14ac:dyDescent="0.2"/>
    <row r="62" spans="11:11" s="10" customFormat="1" x14ac:dyDescent="0.2"/>
    <row r="63" spans="11:11" s="10" customFormat="1" x14ac:dyDescent="0.2"/>
    <row r="64" spans="11:11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</sheetData>
  <mergeCells count="10">
    <mergeCell ref="B1:J1"/>
    <mergeCell ref="B33:J33"/>
    <mergeCell ref="L14:O14"/>
    <mergeCell ref="L15:O15"/>
    <mergeCell ref="B2:J2"/>
    <mergeCell ref="L10:O10"/>
    <mergeCell ref="L11:O11"/>
    <mergeCell ref="L12:O12"/>
    <mergeCell ref="L13:O13"/>
    <mergeCell ref="L16:O16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1F7145"/>
  </sheetPr>
  <dimension ref="A1:EE772"/>
  <sheetViews>
    <sheetView zoomScaleNormal="100" workbookViewId="0">
      <selection activeCell="V18" sqref="V18"/>
    </sheetView>
  </sheetViews>
  <sheetFormatPr baseColWidth="10" defaultColWidth="8.6640625" defaultRowHeight="14" x14ac:dyDescent="0.2"/>
  <cols>
    <col min="1" max="1" width="5.6640625" style="10" customWidth="1"/>
    <col min="2" max="2" width="38.1640625" style="12" customWidth="1"/>
    <col min="3" max="3" width="15.6640625" style="12" bestFit="1" customWidth="1"/>
    <col min="4" max="4" width="16" style="12" customWidth="1"/>
    <col min="5" max="5" width="13.83203125" style="12" customWidth="1"/>
    <col min="6" max="6" width="16.33203125" style="12" bestFit="1" customWidth="1"/>
    <col min="7" max="7" width="39.6640625" style="12" customWidth="1"/>
    <col min="8" max="13" width="8.6640625" style="10"/>
    <col min="14" max="14" width="6.5" style="10" customWidth="1"/>
    <col min="15" max="135" width="8.6640625" style="10"/>
    <col min="136" max="16384" width="8.6640625" style="12"/>
  </cols>
  <sheetData>
    <row r="1" spans="1:135" s="9" customFormat="1" ht="16" x14ac:dyDescent="0.2">
      <c r="A1" s="8"/>
      <c r="B1" s="257" t="s">
        <v>192</v>
      </c>
      <c r="C1" s="257"/>
      <c r="D1" s="257"/>
      <c r="E1" s="257"/>
      <c r="F1" s="257"/>
      <c r="G1" s="25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</row>
    <row r="2" spans="1:135" s="10" customFormat="1" x14ac:dyDescent="0.2"/>
    <row r="3" spans="1:135" x14ac:dyDescent="0.2">
      <c r="B3" s="252" t="s">
        <v>397</v>
      </c>
      <c r="C3" s="252"/>
      <c r="D3" s="252"/>
      <c r="E3" s="252"/>
      <c r="F3" s="252"/>
      <c r="G3" s="252"/>
    </row>
    <row r="4" spans="1:135" ht="15" x14ac:dyDescent="0.2">
      <c r="B4" s="25" t="s">
        <v>25</v>
      </c>
      <c r="C4" s="77">
        <f>'4 Receitas Fiscais'!C40</f>
        <v>799.4630154900334</v>
      </c>
      <c r="D4" s="10"/>
      <c r="E4" s="10"/>
      <c r="F4" s="10"/>
      <c r="G4" s="10"/>
    </row>
    <row r="5" spans="1:135" ht="15" x14ac:dyDescent="0.2">
      <c r="B5" s="25" t="s">
        <v>26</v>
      </c>
      <c r="C5" s="77">
        <f>'4 Receitas Fiscais'!D40</f>
        <v>1874.827875773228</v>
      </c>
      <c r="D5" s="10"/>
      <c r="E5" s="10"/>
      <c r="F5" s="10"/>
      <c r="G5" s="10"/>
    </row>
    <row r="6" spans="1:135" ht="15" x14ac:dyDescent="0.2">
      <c r="B6" s="25" t="s">
        <v>27</v>
      </c>
      <c r="C6" s="77">
        <f>'4 Receitas Fiscais'!E40</f>
        <v>1346.5872014246004</v>
      </c>
      <c r="D6" s="10"/>
      <c r="E6" s="10"/>
      <c r="F6" s="10"/>
      <c r="G6" s="10"/>
    </row>
    <row r="7" spans="1:135" ht="15" x14ac:dyDescent="0.2">
      <c r="B7" s="25" t="s">
        <v>29</v>
      </c>
      <c r="C7" s="77">
        <f>'4 Receitas Fiscais'!F40</f>
        <v>7</v>
      </c>
      <c r="D7" s="10"/>
      <c r="E7" s="10"/>
      <c r="F7" s="10"/>
      <c r="G7" s="10"/>
    </row>
    <row r="8" spans="1:135" ht="15" x14ac:dyDescent="0.2">
      <c r="B8" s="47" t="s">
        <v>32</v>
      </c>
      <c r="C8" s="33">
        <f>'4 Receitas Fiscais'!G40</f>
        <v>4027.8780926878621</v>
      </c>
      <c r="D8" s="10"/>
      <c r="E8" s="10"/>
      <c r="F8" s="10"/>
      <c r="G8" s="10"/>
    </row>
    <row r="9" spans="1:135" s="10" customFormat="1" x14ac:dyDescent="0.2"/>
    <row r="10" spans="1:135" x14ac:dyDescent="0.2">
      <c r="B10" s="252" t="s">
        <v>193</v>
      </c>
      <c r="C10" s="252"/>
      <c r="D10" s="252"/>
      <c r="E10" s="252"/>
      <c r="F10" s="252"/>
      <c r="G10" s="252"/>
    </row>
    <row r="11" spans="1:135" s="10" customFormat="1" ht="15" x14ac:dyDescent="0.2">
      <c r="B11" s="41" t="s">
        <v>194</v>
      </c>
      <c r="C11" s="78">
        <f>'2 Producao Receitas'!G31</f>
        <v>39973.150774501686</v>
      </c>
    </row>
    <row r="12" spans="1:135" s="10" customFormat="1" ht="15" x14ac:dyDescent="0.2">
      <c r="B12" s="41" t="s">
        <v>455</v>
      </c>
      <c r="C12" s="78">
        <f>+'2 Producao Receitas'!G31-'3 Cost Recovery ProfitOil'!M32</f>
        <v>10592.884955242953</v>
      </c>
    </row>
    <row r="13" spans="1:135" s="10" customFormat="1" ht="15" x14ac:dyDescent="0.2">
      <c r="B13" s="41" t="s">
        <v>175</v>
      </c>
      <c r="C13" s="79">
        <f>C8/C11</f>
        <v>0.10076458859623318</v>
      </c>
    </row>
    <row r="14" spans="1:135" s="10" customFormat="1" ht="15" x14ac:dyDescent="0.2">
      <c r="B14" s="41" t="s">
        <v>177</v>
      </c>
      <c r="C14" s="78">
        <f>C8/27</f>
        <v>149.18067009955044</v>
      </c>
    </row>
    <row r="15" spans="1:135" s="10" customFormat="1" x14ac:dyDescent="0.2"/>
    <row r="16" spans="1:135" x14ac:dyDescent="0.2">
      <c r="B16" s="252" t="s">
        <v>398</v>
      </c>
      <c r="C16" s="252"/>
      <c r="D16" s="252"/>
      <c r="E16" s="252"/>
      <c r="F16" s="252"/>
      <c r="G16" s="252"/>
    </row>
    <row r="17" spans="1:135" ht="30" x14ac:dyDescent="0.2">
      <c r="B17" s="11" t="s">
        <v>18</v>
      </c>
      <c r="C17" s="11" t="s">
        <v>195</v>
      </c>
      <c r="D17" s="11" t="s">
        <v>196</v>
      </c>
      <c r="E17" s="11" t="s">
        <v>197</v>
      </c>
      <c r="F17" s="11" t="s">
        <v>198</v>
      </c>
      <c r="G17" s="11" t="s">
        <v>199</v>
      </c>
    </row>
    <row r="18" spans="1:135" s="10" customFormat="1" ht="15" x14ac:dyDescent="0.2">
      <c r="B18" s="187">
        <v>2022</v>
      </c>
      <c r="C18" s="198">
        <v>0.79700000000000004</v>
      </c>
      <c r="D18" s="199">
        <f>+'4 Receitas Fiscais'!G13</f>
        <v>0.79601759999999999</v>
      </c>
      <c r="E18" s="199">
        <f>+D18-C18</f>
        <v>-9.824000000000499E-4</v>
      </c>
      <c r="F18" s="200">
        <f>+D18/C18-1</f>
        <v>-1.232622333751654E-3</v>
      </c>
      <c r="G18" s="189" t="s">
        <v>437</v>
      </c>
    </row>
    <row r="19" spans="1:135" s="10" customFormat="1" ht="30" x14ac:dyDescent="0.2">
      <c r="B19" s="187">
        <v>2023</v>
      </c>
      <c r="C19" s="198">
        <v>73.367999999999995</v>
      </c>
      <c r="D19" s="199">
        <f>+'4 Receitas Fiscais'!G14</f>
        <v>75.17276275750001</v>
      </c>
      <c r="E19" s="199">
        <f t="shared" ref="E19:E21" si="0">+D19-C19</f>
        <v>1.8047627575000149</v>
      </c>
      <c r="F19" s="200">
        <f t="shared" ref="F19:F21" si="1">+D19/C19-1</f>
        <v>2.4598772727892459E-2</v>
      </c>
      <c r="G19" s="189" t="s">
        <v>496</v>
      </c>
    </row>
    <row r="20" spans="1:135" s="10" customFormat="1" ht="30" x14ac:dyDescent="0.2">
      <c r="B20" s="187">
        <v>2024</v>
      </c>
      <c r="C20" s="198">
        <v>90.52</v>
      </c>
      <c r="D20" s="199">
        <f>+'4 Receitas Fiscais'!G15</f>
        <v>98.821281470000002</v>
      </c>
      <c r="E20" s="199">
        <f t="shared" si="0"/>
        <v>8.3012814700000064</v>
      </c>
      <c r="F20" s="200">
        <f t="shared" si="1"/>
        <v>9.1706600419796835E-2</v>
      </c>
      <c r="G20" s="189" t="s">
        <v>438</v>
      </c>
    </row>
    <row r="21" spans="1:135" s="10" customFormat="1" ht="15" x14ac:dyDescent="0.2">
      <c r="B21" s="188">
        <v>2025</v>
      </c>
      <c r="C21" s="201">
        <v>88.13</v>
      </c>
      <c r="D21" s="202">
        <f>+'4 Receitas Fiscais'!G16</f>
        <v>89.911173555000019</v>
      </c>
      <c r="E21" s="199">
        <f t="shared" si="0"/>
        <v>1.7811735550000236</v>
      </c>
      <c r="F21" s="203">
        <f t="shared" si="1"/>
        <v>2.021075178713283E-2</v>
      </c>
      <c r="G21" s="189" t="s">
        <v>437</v>
      </c>
    </row>
    <row r="22" spans="1:135" s="197" customFormat="1" ht="30" x14ac:dyDescent="0.2">
      <c r="B22" s="223" t="s">
        <v>460</v>
      </c>
      <c r="C22" s="224">
        <f t="shared" ref="C22:E22" si="2">+AVERAGE(C18:C21)</f>
        <v>63.203749999999999</v>
      </c>
      <c r="D22" s="224">
        <f t="shared" si="2"/>
        <v>66.175308845625011</v>
      </c>
      <c r="E22" s="225">
        <f t="shared" si="2"/>
        <v>2.9715588456250113</v>
      </c>
      <c r="F22" s="226">
        <f>+AVERAGE(F18:F21)</f>
        <v>3.3820875650267618E-2</v>
      </c>
      <c r="G22" s="227" t="s">
        <v>497</v>
      </c>
    </row>
    <row r="23" spans="1:135" s="10" customFormat="1" ht="15" x14ac:dyDescent="0.2">
      <c r="B23" s="278" t="s">
        <v>494</v>
      </c>
      <c r="C23" s="278"/>
      <c r="D23" s="278"/>
      <c r="E23" s="278"/>
      <c r="F23" s="278"/>
      <c r="G23" s="278"/>
    </row>
    <row r="24" spans="1:135" s="10" customFormat="1" ht="48" customHeight="1" x14ac:dyDescent="0.2">
      <c r="B24" s="279" t="s">
        <v>495</v>
      </c>
      <c r="C24" s="279"/>
      <c r="D24" s="279"/>
      <c r="E24" s="279"/>
      <c r="F24" s="279"/>
      <c r="G24" s="279"/>
    </row>
    <row r="25" spans="1:135" s="10" customFormat="1" ht="45" customHeight="1" x14ac:dyDescent="0.2">
      <c r="B25" s="268" t="s">
        <v>498</v>
      </c>
      <c r="C25" s="268"/>
      <c r="D25" s="268"/>
      <c r="E25" s="268"/>
      <c r="F25" s="268"/>
      <c r="G25" s="268"/>
    </row>
    <row r="26" spans="1:135" s="10" customFormat="1" ht="44" customHeight="1" x14ac:dyDescent="0.2">
      <c r="B26" s="279" t="s">
        <v>517</v>
      </c>
      <c r="C26" s="279"/>
      <c r="D26" s="279"/>
      <c r="E26" s="279"/>
      <c r="F26" s="279"/>
      <c r="G26" s="279"/>
    </row>
    <row r="27" spans="1:135" s="10" customFormat="1" ht="49" customHeight="1" x14ac:dyDescent="0.2">
      <c r="B27" s="268" t="s">
        <v>518</v>
      </c>
      <c r="C27" s="268"/>
      <c r="D27" s="268"/>
      <c r="E27" s="268"/>
      <c r="F27" s="268"/>
      <c r="G27" s="268"/>
    </row>
    <row r="28" spans="1:135" s="10" customFormat="1" ht="38" customHeight="1" x14ac:dyDescent="0.2">
      <c r="B28" s="269" t="s">
        <v>516</v>
      </c>
      <c r="C28" s="269"/>
      <c r="D28" s="269"/>
      <c r="E28" s="269"/>
      <c r="F28" s="269"/>
      <c r="G28" s="269"/>
    </row>
    <row r="29" spans="1:135" s="10" customFormat="1" x14ac:dyDescent="0.2"/>
    <row r="30" spans="1:135" x14ac:dyDescent="0.2">
      <c r="B30" s="252" t="s">
        <v>200</v>
      </c>
      <c r="C30" s="252"/>
      <c r="D30" s="252"/>
      <c r="E30" s="252"/>
      <c r="F30" s="252"/>
      <c r="G30" s="252"/>
    </row>
    <row r="31" spans="1:135" s="74" customFormat="1" ht="30" x14ac:dyDescent="0.2">
      <c r="A31" s="73"/>
      <c r="B31" s="11" t="s">
        <v>116</v>
      </c>
      <c r="C31" s="11" t="s">
        <v>201</v>
      </c>
      <c r="D31" s="11" t="s">
        <v>202</v>
      </c>
      <c r="E31" s="11" t="s">
        <v>203</v>
      </c>
      <c r="F31" s="272" t="s">
        <v>51</v>
      </c>
      <c r="G31" s="2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</row>
    <row r="32" spans="1:135" s="10" customFormat="1" ht="15" x14ac:dyDescent="0.2">
      <c r="B32" s="80" t="s">
        <v>204</v>
      </c>
      <c r="C32" s="68">
        <v>2</v>
      </c>
      <c r="D32" s="81">
        <v>2.9119999999999999</v>
      </c>
      <c r="E32" s="82">
        <v>4.3999999999999997E-2</v>
      </c>
      <c r="F32" s="274" t="s">
        <v>98</v>
      </c>
      <c r="G32" s="275"/>
    </row>
    <row r="33" spans="2:7" s="10" customFormat="1" ht="15" x14ac:dyDescent="0.2">
      <c r="B33" s="80" t="s">
        <v>205</v>
      </c>
      <c r="C33" s="68">
        <v>10</v>
      </c>
      <c r="D33" s="81">
        <v>34.6</v>
      </c>
      <c r="E33" s="82">
        <v>0.51700000000000002</v>
      </c>
      <c r="F33" s="274" t="s">
        <v>206</v>
      </c>
      <c r="G33" s="275"/>
    </row>
    <row r="34" spans="2:7" s="10" customFormat="1" ht="15" x14ac:dyDescent="0.2">
      <c r="B34" s="80" t="s">
        <v>207</v>
      </c>
      <c r="C34" s="68">
        <v>15</v>
      </c>
      <c r="D34" s="81">
        <v>29.366</v>
      </c>
      <c r="E34" s="82">
        <v>0.439</v>
      </c>
      <c r="F34" s="274" t="s">
        <v>208</v>
      </c>
      <c r="G34" s="275"/>
    </row>
    <row r="35" spans="2:7" ht="15" x14ac:dyDescent="0.2">
      <c r="B35" s="47" t="s">
        <v>32</v>
      </c>
      <c r="C35" s="83">
        <v>27</v>
      </c>
      <c r="D35" s="84">
        <v>66.878</v>
      </c>
      <c r="E35" s="85">
        <v>1</v>
      </c>
      <c r="F35" s="276" t="s">
        <v>209</v>
      </c>
      <c r="G35" s="277"/>
    </row>
    <row r="36" spans="2:7" s="10" customFormat="1" x14ac:dyDescent="0.2">
      <c r="C36" s="73"/>
      <c r="D36" s="73"/>
      <c r="E36" s="73"/>
    </row>
    <row r="37" spans="2:7" x14ac:dyDescent="0.2">
      <c r="B37" s="270" t="s">
        <v>399</v>
      </c>
      <c r="C37" s="270"/>
      <c r="D37" s="270"/>
      <c r="E37" s="270"/>
      <c r="F37" s="270"/>
      <c r="G37" s="270"/>
    </row>
    <row r="38" spans="2:7" ht="84" customHeight="1" x14ac:dyDescent="0.2">
      <c r="B38" s="271" t="s">
        <v>519</v>
      </c>
      <c r="C38" s="271"/>
      <c r="D38" s="271"/>
      <c r="E38" s="271"/>
      <c r="F38" s="271"/>
      <c r="G38" s="271"/>
    </row>
    <row r="39" spans="2:7" s="10" customFormat="1" x14ac:dyDescent="0.2"/>
    <row r="40" spans="2:7" s="10" customFormat="1" x14ac:dyDescent="0.2"/>
    <row r="41" spans="2:7" s="10" customFormat="1" x14ac:dyDescent="0.2"/>
    <row r="42" spans="2:7" s="10" customFormat="1" x14ac:dyDescent="0.2"/>
    <row r="43" spans="2:7" s="10" customFormat="1" x14ac:dyDescent="0.2"/>
    <row r="44" spans="2:7" s="10" customFormat="1" x14ac:dyDescent="0.2"/>
    <row r="45" spans="2:7" s="10" customFormat="1" x14ac:dyDescent="0.2"/>
    <row r="46" spans="2:7" s="10" customFormat="1" x14ac:dyDescent="0.2"/>
    <row r="47" spans="2:7" s="10" customFormat="1" x14ac:dyDescent="0.2"/>
    <row r="48" spans="2:7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  <row r="644" s="10" customFormat="1" x14ac:dyDescent="0.2"/>
    <row r="645" s="10" customFormat="1" x14ac:dyDescent="0.2"/>
    <row r="646" s="10" customFormat="1" x14ac:dyDescent="0.2"/>
    <row r="647" s="10" customFormat="1" x14ac:dyDescent="0.2"/>
    <row r="648" s="10" customFormat="1" x14ac:dyDescent="0.2"/>
    <row r="649" s="10" customFormat="1" x14ac:dyDescent="0.2"/>
    <row r="650" s="10" customFormat="1" x14ac:dyDescent="0.2"/>
    <row r="651" s="10" customFormat="1" x14ac:dyDescent="0.2"/>
    <row r="652" s="10" customFormat="1" x14ac:dyDescent="0.2"/>
    <row r="653" s="10" customFormat="1" x14ac:dyDescent="0.2"/>
    <row r="654" s="10" customFormat="1" x14ac:dyDescent="0.2"/>
    <row r="655" s="10" customFormat="1" x14ac:dyDescent="0.2"/>
    <row r="656" s="10" customFormat="1" x14ac:dyDescent="0.2"/>
    <row r="657" s="10" customFormat="1" x14ac:dyDescent="0.2"/>
    <row r="658" s="10" customFormat="1" x14ac:dyDescent="0.2"/>
    <row r="659" s="10" customFormat="1" x14ac:dyDescent="0.2"/>
    <row r="660" s="10" customFormat="1" x14ac:dyDescent="0.2"/>
    <row r="661" s="10" customFormat="1" x14ac:dyDescent="0.2"/>
    <row r="662" s="10" customFormat="1" x14ac:dyDescent="0.2"/>
    <row r="663" s="10" customFormat="1" x14ac:dyDescent="0.2"/>
    <row r="664" s="10" customFormat="1" x14ac:dyDescent="0.2"/>
    <row r="665" s="10" customFormat="1" x14ac:dyDescent="0.2"/>
    <row r="666" s="10" customFormat="1" x14ac:dyDescent="0.2"/>
    <row r="667" s="10" customFormat="1" x14ac:dyDescent="0.2"/>
    <row r="668" s="10" customFormat="1" x14ac:dyDescent="0.2"/>
    <row r="669" s="10" customFormat="1" x14ac:dyDescent="0.2"/>
    <row r="670" s="10" customFormat="1" x14ac:dyDescent="0.2"/>
    <row r="671" s="10" customFormat="1" x14ac:dyDescent="0.2"/>
    <row r="672" s="10" customFormat="1" x14ac:dyDescent="0.2"/>
    <row r="673" s="10" customFormat="1" x14ac:dyDescent="0.2"/>
    <row r="674" s="10" customFormat="1" x14ac:dyDescent="0.2"/>
    <row r="675" s="10" customFormat="1" x14ac:dyDescent="0.2"/>
    <row r="676" s="10" customFormat="1" x14ac:dyDescent="0.2"/>
    <row r="677" s="10" customFormat="1" x14ac:dyDescent="0.2"/>
    <row r="678" s="10" customFormat="1" x14ac:dyDescent="0.2"/>
    <row r="679" s="10" customFormat="1" x14ac:dyDescent="0.2"/>
    <row r="680" s="10" customFormat="1" x14ac:dyDescent="0.2"/>
    <row r="681" s="10" customFormat="1" x14ac:dyDescent="0.2"/>
    <row r="682" s="10" customFormat="1" x14ac:dyDescent="0.2"/>
    <row r="683" s="10" customFormat="1" x14ac:dyDescent="0.2"/>
    <row r="684" s="10" customFormat="1" x14ac:dyDescent="0.2"/>
    <row r="685" s="10" customFormat="1" x14ac:dyDescent="0.2"/>
    <row r="686" s="10" customFormat="1" x14ac:dyDescent="0.2"/>
    <row r="687" s="10" customFormat="1" x14ac:dyDescent="0.2"/>
    <row r="688" s="10" customFormat="1" x14ac:dyDescent="0.2"/>
    <row r="689" s="10" customFormat="1" x14ac:dyDescent="0.2"/>
    <row r="690" s="10" customFormat="1" x14ac:dyDescent="0.2"/>
    <row r="691" s="10" customFormat="1" x14ac:dyDescent="0.2"/>
    <row r="692" s="10" customFormat="1" x14ac:dyDescent="0.2"/>
    <row r="693" s="10" customFormat="1" x14ac:dyDescent="0.2"/>
    <row r="694" s="10" customFormat="1" x14ac:dyDescent="0.2"/>
    <row r="695" s="10" customFormat="1" x14ac:dyDescent="0.2"/>
    <row r="696" s="10" customFormat="1" x14ac:dyDescent="0.2"/>
    <row r="697" s="10" customFormat="1" x14ac:dyDescent="0.2"/>
    <row r="698" s="10" customFormat="1" x14ac:dyDescent="0.2"/>
    <row r="699" s="10" customFormat="1" x14ac:dyDescent="0.2"/>
    <row r="700" s="10" customFormat="1" x14ac:dyDescent="0.2"/>
    <row r="701" s="10" customFormat="1" x14ac:dyDescent="0.2"/>
    <row r="702" s="10" customFormat="1" x14ac:dyDescent="0.2"/>
    <row r="703" s="10" customFormat="1" x14ac:dyDescent="0.2"/>
    <row r="704" s="10" customFormat="1" x14ac:dyDescent="0.2"/>
    <row r="705" s="10" customFormat="1" x14ac:dyDescent="0.2"/>
    <row r="706" s="10" customFormat="1" x14ac:dyDescent="0.2"/>
    <row r="707" s="10" customFormat="1" x14ac:dyDescent="0.2"/>
    <row r="708" s="10" customFormat="1" x14ac:dyDescent="0.2"/>
    <row r="709" s="10" customFormat="1" x14ac:dyDescent="0.2"/>
    <row r="710" s="10" customFormat="1" x14ac:dyDescent="0.2"/>
    <row r="711" s="10" customFormat="1" x14ac:dyDescent="0.2"/>
    <row r="712" s="10" customFormat="1" x14ac:dyDescent="0.2"/>
    <row r="713" s="10" customFormat="1" x14ac:dyDescent="0.2"/>
    <row r="714" s="10" customFormat="1" x14ac:dyDescent="0.2"/>
    <row r="715" s="10" customFormat="1" x14ac:dyDescent="0.2"/>
    <row r="716" s="10" customFormat="1" x14ac:dyDescent="0.2"/>
    <row r="717" s="10" customFormat="1" x14ac:dyDescent="0.2"/>
    <row r="718" s="10" customFormat="1" x14ac:dyDescent="0.2"/>
    <row r="719" s="10" customFormat="1" x14ac:dyDescent="0.2"/>
    <row r="720" s="10" customFormat="1" x14ac:dyDescent="0.2"/>
    <row r="721" s="10" customFormat="1" x14ac:dyDescent="0.2"/>
    <row r="722" s="10" customFormat="1" x14ac:dyDescent="0.2"/>
    <row r="723" s="10" customFormat="1" x14ac:dyDescent="0.2"/>
    <row r="724" s="10" customFormat="1" x14ac:dyDescent="0.2"/>
    <row r="725" s="10" customFormat="1" x14ac:dyDescent="0.2"/>
    <row r="726" s="10" customFormat="1" x14ac:dyDescent="0.2"/>
    <row r="727" s="10" customFormat="1" x14ac:dyDescent="0.2"/>
    <row r="728" s="10" customFormat="1" x14ac:dyDescent="0.2"/>
    <row r="729" s="10" customFormat="1" x14ac:dyDescent="0.2"/>
    <row r="730" s="10" customFormat="1" x14ac:dyDescent="0.2"/>
    <row r="731" s="10" customFormat="1" x14ac:dyDescent="0.2"/>
    <row r="732" s="10" customFormat="1" x14ac:dyDescent="0.2"/>
    <row r="733" s="10" customFormat="1" x14ac:dyDescent="0.2"/>
    <row r="734" s="10" customFormat="1" x14ac:dyDescent="0.2"/>
    <row r="735" s="10" customFormat="1" x14ac:dyDescent="0.2"/>
    <row r="736" s="10" customFormat="1" x14ac:dyDescent="0.2"/>
    <row r="737" s="10" customFormat="1" x14ac:dyDescent="0.2"/>
    <row r="738" s="10" customFormat="1" x14ac:dyDescent="0.2"/>
    <row r="739" s="10" customFormat="1" x14ac:dyDescent="0.2"/>
    <row r="740" s="10" customFormat="1" x14ac:dyDescent="0.2"/>
    <row r="741" s="10" customFormat="1" x14ac:dyDescent="0.2"/>
    <row r="742" s="10" customFormat="1" x14ac:dyDescent="0.2"/>
    <row r="743" s="10" customFormat="1" x14ac:dyDescent="0.2"/>
    <row r="744" s="10" customFormat="1" x14ac:dyDescent="0.2"/>
    <row r="745" s="10" customFormat="1" x14ac:dyDescent="0.2"/>
    <row r="746" s="10" customFormat="1" x14ac:dyDescent="0.2"/>
    <row r="747" s="10" customFormat="1" x14ac:dyDescent="0.2"/>
    <row r="748" s="10" customFormat="1" x14ac:dyDescent="0.2"/>
    <row r="749" s="10" customFormat="1" x14ac:dyDescent="0.2"/>
    <row r="750" s="10" customFormat="1" x14ac:dyDescent="0.2"/>
    <row r="751" s="10" customFormat="1" x14ac:dyDescent="0.2"/>
    <row r="752" s="10" customFormat="1" x14ac:dyDescent="0.2"/>
    <row r="753" s="10" customFormat="1" x14ac:dyDescent="0.2"/>
    <row r="754" s="10" customFormat="1" x14ac:dyDescent="0.2"/>
    <row r="755" s="10" customFormat="1" x14ac:dyDescent="0.2"/>
    <row r="756" s="10" customFormat="1" x14ac:dyDescent="0.2"/>
    <row r="757" s="10" customFormat="1" x14ac:dyDescent="0.2"/>
    <row r="758" s="10" customFormat="1" x14ac:dyDescent="0.2"/>
    <row r="759" s="10" customFormat="1" x14ac:dyDescent="0.2"/>
    <row r="760" s="10" customFormat="1" x14ac:dyDescent="0.2"/>
    <row r="761" s="10" customFormat="1" x14ac:dyDescent="0.2"/>
    <row r="762" s="10" customFormat="1" x14ac:dyDescent="0.2"/>
    <row r="763" s="10" customFormat="1" x14ac:dyDescent="0.2"/>
    <row r="764" s="10" customFormat="1" x14ac:dyDescent="0.2"/>
    <row r="765" s="10" customFormat="1" x14ac:dyDescent="0.2"/>
    <row r="766" s="10" customFormat="1" x14ac:dyDescent="0.2"/>
    <row r="767" s="10" customFormat="1" x14ac:dyDescent="0.2"/>
    <row r="768" s="10" customFormat="1" x14ac:dyDescent="0.2"/>
    <row r="769" s="10" customFormat="1" x14ac:dyDescent="0.2"/>
    <row r="770" s="10" customFormat="1" x14ac:dyDescent="0.2"/>
    <row r="771" s="10" customFormat="1" x14ac:dyDescent="0.2"/>
    <row r="772" s="10" customFormat="1" x14ac:dyDescent="0.2"/>
  </sheetData>
  <mergeCells count="18">
    <mergeCell ref="B1:G1"/>
    <mergeCell ref="B3:G3"/>
    <mergeCell ref="B10:G10"/>
    <mergeCell ref="B16:G16"/>
    <mergeCell ref="F31:G31"/>
    <mergeCell ref="B23:G23"/>
    <mergeCell ref="B24:G24"/>
    <mergeCell ref="B25:G25"/>
    <mergeCell ref="B26:G26"/>
    <mergeCell ref="B27:G27"/>
    <mergeCell ref="B28:G28"/>
    <mergeCell ref="B30:G30"/>
    <mergeCell ref="B37:G37"/>
    <mergeCell ref="B38:G38"/>
    <mergeCell ref="F32:G32"/>
    <mergeCell ref="F33:G33"/>
    <mergeCell ref="F34:G34"/>
    <mergeCell ref="F35:G35"/>
  </mergeCells>
  <pageMargins left="0.75" right="0.75" top="1" bottom="1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595959"/>
  </sheetPr>
  <dimension ref="A1:FF1011"/>
  <sheetViews>
    <sheetView zoomScaleNormal="100" workbookViewId="0">
      <selection activeCell="F14" sqref="F14"/>
    </sheetView>
  </sheetViews>
  <sheetFormatPr baseColWidth="10" defaultColWidth="8.6640625" defaultRowHeight="14" x14ac:dyDescent="0.2"/>
  <cols>
    <col min="1" max="1" width="4.83203125" style="10" customWidth="1"/>
    <col min="2" max="2" width="27.33203125" style="12" customWidth="1"/>
    <col min="3" max="3" width="11.33203125" style="12" bestFit="1" customWidth="1"/>
    <col min="4" max="4" width="19" style="12" customWidth="1"/>
    <col min="5" max="5" width="12.33203125" style="12" bestFit="1" customWidth="1"/>
    <col min="6" max="6" width="13" style="12" customWidth="1"/>
    <col min="7" max="7" width="33" style="12" bestFit="1" customWidth="1"/>
    <col min="8" max="8" width="4.5" style="10" customWidth="1"/>
    <col min="9" max="9" width="25.1640625" style="12" bestFit="1" customWidth="1"/>
    <col min="10" max="10" width="20.6640625" style="12" bestFit="1" customWidth="1"/>
    <col min="11" max="11" width="13" style="12" customWidth="1"/>
    <col min="12" max="12" width="24.5" style="12" bestFit="1" customWidth="1"/>
    <col min="13" max="13" width="14.6640625" style="10" customWidth="1"/>
    <col min="14" max="14" width="34.5" style="10" customWidth="1"/>
    <col min="15" max="15" width="14.6640625" style="10" customWidth="1"/>
    <col min="16" max="16" width="12.5" style="10" customWidth="1"/>
    <col min="17" max="17" width="15" style="10" customWidth="1"/>
    <col min="18" max="18" width="10" style="10" customWidth="1"/>
    <col min="19" max="19" width="40.5" style="10" customWidth="1"/>
    <col min="20" max="21" width="12" style="10" customWidth="1"/>
    <col min="22" max="162" width="8.6640625" style="10"/>
    <col min="163" max="16384" width="8.6640625" style="12"/>
  </cols>
  <sheetData>
    <row r="1" spans="2:21" ht="15" customHeight="1" x14ac:dyDescent="0.2">
      <c r="B1" s="257" t="s">
        <v>210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50"/>
      <c r="S1" s="50"/>
      <c r="T1" s="50"/>
      <c r="U1" s="50"/>
    </row>
    <row r="2" spans="2:21" s="10" customFormat="1" x14ac:dyDescent="0.2"/>
    <row r="3" spans="2:21" ht="16" x14ac:dyDescent="0.2">
      <c r="B3" s="280" t="s">
        <v>211</v>
      </c>
      <c r="C3" s="280"/>
      <c r="D3" s="280"/>
      <c r="E3" s="280"/>
      <c r="F3" s="280"/>
      <c r="G3" s="280"/>
      <c r="H3" s="40"/>
      <c r="I3" s="266" t="s">
        <v>234</v>
      </c>
      <c r="J3" s="266"/>
      <c r="K3" s="266"/>
      <c r="L3" s="266"/>
    </row>
    <row r="4" spans="2:21" ht="15" x14ac:dyDescent="0.2">
      <c r="B4" s="11" t="s">
        <v>49</v>
      </c>
      <c r="C4" s="11" t="s">
        <v>88</v>
      </c>
      <c r="D4" s="11" t="s">
        <v>90</v>
      </c>
      <c r="E4" s="11" t="s">
        <v>91</v>
      </c>
      <c r="F4" s="11" t="s">
        <v>212</v>
      </c>
      <c r="G4" s="11" t="s">
        <v>213</v>
      </c>
      <c r="I4" s="11" t="s">
        <v>415</v>
      </c>
      <c r="J4" s="11" t="s">
        <v>134</v>
      </c>
      <c r="K4" s="11" t="s">
        <v>235</v>
      </c>
      <c r="L4" s="11" t="s">
        <v>51</v>
      </c>
    </row>
    <row r="5" spans="2:21" ht="15" x14ac:dyDescent="0.2">
      <c r="B5" s="2" t="s">
        <v>214</v>
      </c>
      <c r="C5" s="2"/>
      <c r="D5" s="2"/>
      <c r="E5" s="2"/>
      <c r="F5" s="51" t="s">
        <v>90</v>
      </c>
      <c r="G5" s="44" t="s">
        <v>215</v>
      </c>
      <c r="I5" s="52" t="s">
        <v>79</v>
      </c>
      <c r="J5" s="53">
        <v>0.15</v>
      </c>
      <c r="K5" s="53">
        <v>0.85</v>
      </c>
      <c r="L5" s="44" t="s">
        <v>80</v>
      </c>
    </row>
    <row r="6" spans="2:21" ht="15" x14ac:dyDescent="0.2">
      <c r="B6" s="2" t="s">
        <v>216</v>
      </c>
      <c r="C6" s="54">
        <v>2022</v>
      </c>
      <c r="D6" s="54">
        <v>2022</v>
      </c>
      <c r="E6" s="54">
        <v>2022</v>
      </c>
      <c r="F6" s="55">
        <f>INDEX(C6:E6,1,MATCH($F$5,$C$4:$E$4,0))</f>
        <v>2022</v>
      </c>
      <c r="G6" s="44" t="s">
        <v>217</v>
      </c>
      <c r="I6" s="52" t="s">
        <v>81</v>
      </c>
      <c r="J6" s="53">
        <v>0.25</v>
      </c>
      <c r="K6" s="53">
        <v>0.75</v>
      </c>
      <c r="L6" s="44" t="s">
        <v>80</v>
      </c>
    </row>
    <row r="7" spans="2:21" ht="15" x14ac:dyDescent="0.2">
      <c r="B7" s="2" t="s">
        <v>218</v>
      </c>
      <c r="C7" s="54">
        <v>2048</v>
      </c>
      <c r="D7" s="54">
        <v>2048</v>
      </c>
      <c r="E7" s="54">
        <v>2048</v>
      </c>
      <c r="F7" s="55">
        <f>INDEX(C7:E7,1,MATCH($F$5,$C$4:$E$4,0))</f>
        <v>2048</v>
      </c>
      <c r="G7" s="44" t="s">
        <v>59</v>
      </c>
      <c r="I7" s="52" t="s">
        <v>82</v>
      </c>
      <c r="J7" s="53">
        <v>0.35</v>
      </c>
      <c r="K7" s="53">
        <v>0.65</v>
      </c>
      <c r="L7" s="44" t="s">
        <v>80</v>
      </c>
    </row>
    <row r="8" spans="2:21" ht="15" x14ac:dyDescent="0.2">
      <c r="B8" s="2" t="s">
        <v>219</v>
      </c>
      <c r="C8" s="56">
        <v>52.15</v>
      </c>
      <c r="D8" s="56">
        <v>52.15</v>
      </c>
      <c r="E8" s="56">
        <v>52.15</v>
      </c>
      <c r="F8" s="57">
        <f>INDEX(C8:E8,1,MATCH($F$5,$C$4:$E$4,0))</f>
        <v>52.15</v>
      </c>
      <c r="G8" s="44" t="s">
        <v>220</v>
      </c>
      <c r="I8" s="52" t="s">
        <v>83</v>
      </c>
      <c r="J8" s="53">
        <v>0.45</v>
      </c>
      <c r="K8" s="53">
        <v>0.55000000000000004</v>
      </c>
      <c r="L8" s="44" t="s">
        <v>80</v>
      </c>
    </row>
    <row r="9" spans="2:21" ht="15" x14ac:dyDescent="0.2">
      <c r="B9" s="2" t="s">
        <v>221</v>
      </c>
      <c r="C9" s="58">
        <v>0.02</v>
      </c>
      <c r="D9" s="58">
        <v>0.02</v>
      </c>
      <c r="E9" s="58">
        <v>0.02</v>
      </c>
      <c r="F9" s="59">
        <f t="shared" ref="F9:F17" si="0">INDEX(C9:E9,1,MATCH($F$5,$C$4:$E$4,0))</f>
        <v>0.02</v>
      </c>
      <c r="G9" s="44" t="s">
        <v>222</v>
      </c>
      <c r="I9" s="52" t="s">
        <v>84</v>
      </c>
      <c r="J9" s="53">
        <v>0.55000000000000004</v>
      </c>
      <c r="K9" s="53">
        <v>0.45</v>
      </c>
      <c r="L9" s="44" t="s">
        <v>80</v>
      </c>
    </row>
    <row r="10" spans="2:21" ht="15" x14ac:dyDescent="0.2">
      <c r="B10" s="2" t="s">
        <v>69</v>
      </c>
      <c r="C10" s="58">
        <v>0.75</v>
      </c>
      <c r="D10" s="58">
        <v>0.75</v>
      </c>
      <c r="E10" s="58">
        <v>0.75</v>
      </c>
      <c r="F10" s="59">
        <f t="shared" si="0"/>
        <v>0.75</v>
      </c>
      <c r="G10" s="44" t="s">
        <v>70</v>
      </c>
      <c r="I10" s="10"/>
      <c r="J10" s="10"/>
      <c r="K10" s="10"/>
      <c r="L10" s="10"/>
    </row>
    <row r="11" spans="2:21" ht="16" x14ac:dyDescent="0.2">
      <c r="B11" s="2" t="s">
        <v>223</v>
      </c>
      <c r="C11" s="58">
        <v>0.998</v>
      </c>
      <c r="D11" s="58">
        <v>0.998</v>
      </c>
      <c r="E11" s="58">
        <v>0.998</v>
      </c>
      <c r="F11" s="59">
        <f t="shared" si="0"/>
        <v>0.998</v>
      </c>
      <c r="G11" s="44" t="s">
        <v>224</v>
      </c>
      <c r="I11" s="280" t="s">
        <v>236</v>
      </c>
      <c r="J11" s="280"/>
      <c r="K11" s="280"/>
      <c r="L11" s="280"/>
    </row>
    <row r="12" spans="2:21" ht="16" customHeight="1" x14ac:dyDescent="0.2">
      <c r="B12" s="2" t="s">
        <v>225</v>
      </c>
      <c r="C12" s="58">
        <v>0.24</v>
      </c>
      <c r="D12" s="58">
        <v>0.24</v>
      </c>
      <c r="E12" s="58">
        <v>0.24</v>
      </c>
      <c r="F12" s="59">
        <f t="shared" si="0"/>
        <v>0.24</v>
      </c>
      <c r="G12" s="44" t="s">
        <v>226</v>
      </c>
      <c r="I12" s="11" t="s">
        <v>49</v>
      </c>
      <c r="J12" s="11" t="s">
        <v>24</v>
      </c>
      <c r="K12" s="11" t="s">
        <v>50</v>
      </c>
      <c r="L12" s="11" t="s">
        <v>213</v>
      </c>
    </row>
    <row r="13" spans="2:21" ht="30" x14ac:dyDescent="0.2">
      <c r="B13" s="2" t="s">
        <v>227</v>
      </c>
      <c r="C13" s="58">
        <v>0.32</v>
      </c>
      <c r="D13" s="58">
        <v>0.32</v>
      </c>
      <c r="E13" s="58">
        <v>0.32</v>
      </c>
      <c r="F13" s="59">
        <f t="shared" si="0"/>
        <v>0.32</v>
      </c>
      <c r="G13" s="44" t="s">
        <v>228</v>
      </c>
      <c r="I13" s="2" t="s">
        <v>241</v>
      </c>
      <c r="J13" s="61">
        <v>1326</v>
      </c>
      <c r="K13" s="2" t="s">
        <v>21</v>
      </c>
      <c r="L13" s="44" t="s">
        <v>242</v>
      </c>
    </row>
    <row r="14" spans="2:21" ht="15" x14ac:dyDescent="0.2">
      <c r="B14" s="2" t="s">
        <v>229</v>
      </c>
      <c r="C14" s="56">
        <v>8</v>
      </c>
      <c r="D14" s="56">
        <v>8</v>
      </c>
      <c r="E14" s="56">
        <v>8</v>
      </c>
      <c r="F14" s="60">
        <f t="shared" si="0"/>
        <v>8</v>
      </c>
      <c r="G14" s="44" t="s">
        <v>230</v>
      </c>
      <c r="I14" s="2" t="s">
        <v>245</v>
      </c>
      <c r="J14" s="61">
        <v>1356</v>
      </c>
      <c r="K14" s="2" t="s">
        <v>21</v>
      </c>
      <c r="L14" s="44" t="s">
        <v>246</v>
      </c>
    </row>
    <row r="15" spans="2:21" ht="15" x14ac:dyDescent="0.2">
      <c r="B15" s="2" t="s">
        <v>153</v>
      </c>
      <c r="C15" s="58">
        <v>0.1</v>
      </c>
      <c r="D15" s="58">
        <v>0.1</v>
      </c>
      <c r="E15" s="58">
        <v>0.1</v>
      </c>
      <c r="F15" s="59">
        <f t="shared" si="0"/>
        <v>0.1</v>
      </c>
      <c r="G15" s="44" t="s">
        <v>231</v>
      </c>
      <c r="I15" s="2" t="s">
        <v>247</v>
      </c>
      <c r="J15" s="62">
        <v>0.06</v>
      </c>
      <c r="K15" s="2" t="s">
        <v>22</v>
      </c>
      <c r="L15" s="44" t="s">
        <v>248</v>
      </c>
    </row>
    <row r="16" spans="2:21" ht="15" x14ac:dyDescent="0.2">
      <c r="B16" s="2" t="s">
        <v>232</v>
      </c>
      <c r="C16" s="58">
        <v>0.06</v>
      </c>
      <c r="D16" s="58">
        <v>0.06</v>
      </c>
      <c r="E16" s="58">
        <v>0.06</v>
      </c>
      <c r="F16" s="59">
        <f t="shared" si="0"/>
        <v>0.06</v>
      </c>
      <c r="G16" s="44" t="s">
        <v>233</v>
      </c>
    </row>
    <row r="17" spans="2:14" s="10" customFormat="1" ht="16" customHeight="1" x14ac:dyDescent="0.2">
      <c r="B17" s="2" t="s">
        <v>420</v>
      </c>
      <c r="C17" s="56">
        <v>8</v>
      </c>
      <c r="D17" s="56">
        <v>12</v>
      </c>
      <c r="E17" s="56">
        <v>16</v>
      </c>
      <c r="F17" s="60">
        <f t="shared" si="0"/>
        <v>12</v>
      </c>
      <c r="G17" s="44" t="s">
        <v>421</v>
      </c>
      <c r="I17" s="280" t="s">
        <v>447</v>
      </c>
      <c r="J17" s="280"/>
    </row>
    <row r="18" spans="2:14" s="10" customFormat="1" ht="15" x14ac:dyDescent="0.2">
      <c r="I18" s="11" t="s">
        <v>440</v>
      </c>
      <c r="J18" s="11" t="s">
        <v>441</v>
      </c>
    </row>
    <row r="19" spans="2:14" s="10" customFormat="1" ht="45" x14ac:dyDescent="0.2">
      <c r="B19" s="11" t="s">
        <v>18</v>
      </c>
      <c r="C19" s="11" t="s">
        <v>127</v>
      </c>
      <c r="D19" s="11" t="s">
        <v>412</v>
      </c>
      <c r="E19" s="11" t="s">
        <v>547</v>
      </c>
      <c r="F19" s="11" t="s">
        <v>548</v>
      </c>
      <c r="G19" s="11" t="s">
        <v>213</v>
      </c>
      <c r="I19" s="2" t="s">
        <v>442</v>
      </c>
      <c r="J19" s="61" t="s">
        <v>443</v>
      </c>
    </row>
    <row r="20" spans="2:14" s="10" customFormat="1" ht="90" x14ac:dyDescent="0.2">
      <c r="B20" s="68">
        <v>2021</v>
      </c>
      <c r="C20" s="56">
        <v>2173.3780000000002</v>
      </c>
      <c r="D20" s="56">
        <v>8502.8829999999998</v>
      </c>
      <c r="E20" s="56">
        <v>0</v>
      </c>
      <c r="F20" s="56">
        <v>0</v>
      </c>
      <c r="G20" s="44" t="s">
        <v>549</v>
      </c>
      <c r="I20" s="2" t="s">
        <v>444</v>
      </c>
      <c r="J20" s="61" t="s">
        <v>443</v>
      </c>
    </row>
    <row r="21" spans="2:14" s="10" customFormat="1" ht="15" x14ac:dyDescent="0.2">
      <c r="B21" s="68">
        <v>2022</v>
      </c>
      <c r="C21" s="56">
        <f>+C20</f>
        <v>2173.3780000000002</v>
      </c>
      <c r="D21" s="56">
        <f>+D20*25%+736.107*25%</f>
        <v>2309.7474999999999</v>
      </c>
      <c r="E21" s="56">
        <f>+Q75</f>
        <v>250</v>
      </c>
      <c r="F21" s="56">
        <f>+C21+D21+E21</f>
        <v>4733.1255000000001</v>
      </c>
      <c r="G21" s="379" t="s">
        <v>550</v>
      </c>
      <c r="I21" s="2" t="s">
        <v>445</v>
      </c>
      <c r="J21" s="62" t="s">
        <v>446</v>
      </c>
    </row>
    <row r="22" spans="2:14" s="10" customFormat="1" x14ac:dyDescent="0.2">
      <c r="B22" s="68">
        <v>2023</v>
      </c>
      <c r="C22" s="56">
        <v>0.156</v>
      </c>
      <c r="D22" s="56">
        <f>+D21+126.335*25%</f>
        <v>2341.3312499999997</v>
      </c>
      <c r="E22" s="56">
        <f>+Q76</f>
        <v>648</v>
      </c>
      <c r="F22" s="56">
        <f t="shared" ref="F22:F27" si="1">+C22+D22+E22</f>
        <v>2989.4872499999997</v>
      </c>
      <c r="G22" s="380"/>
    </row>
    <row r="23" spans="2:14" s="10" customFormat="1" x14ac:dyDescent="0.2">
      <c r="B23" s="68">
        <v>2024</v>
      </c>
      <c r="C23" s="56">
        <v>0</v>
      </c>
      <c r="D23" s="56">
        <f>+D21+126.335*25%+141.89*25%</f>
        <v>2376.8037499999996</v>
      </c>
      <c r="E23" s="56">
        <f>+Q77</f>
        <v>638</v>
      </c>
      <c r="F23" s="56">
        <f t="shared" si="1"/>
        <v>3014.8037499999996</v>
      </c>
      <c r="G23" s="380"/>
    </row>
    <row r="24" spans="2:14" s="10" customFormat="1" ht="16" x14ac:dyDescent="0.2">
      <c r="B24" s="68">
        <v>2025</v>
      </c>
      <c r="C24" s="56">
        <v>0</v>
      </c>
      <c r="D24" s="56">
        <f>+D21+126.335*25%+141.89*25%</f>
        <v>2376.8037499999996</v>
      </c>
      <c r="E24" s="56">
        <f t="shared" ref="E24:E27" si="2">+Q78</f>
        <v>675.70373519999998</v>
      </c>
      <c r="F24" s="56">
        <f t="shared" si="1"/>
        <v>3052.5074851999998</v>
      </c>
      <c r="G24" s="380"/>
      <c r="I24" s="280" t="s">
        <v>448</v>
      </c>
      <c r="J24" s="280"/>
      <c r="K24" s="280"/>
      <c r="L24" s="280"/>
      <c r="M24" s="280"/>
      <c r="N24" s="280"/>
    </row>
    <row r="25" spans="2:14" s="10" customFormat="1" ht="16" customHeight="1" x14ac:dyDescent="0.2">
      <c r="B25" s="68">
        <v>2026</v>
      </c>
      <c r="C25" s="56">
        <v>0</v>
      </c>
      <c r="D25" s="56">
        <f>126.335*25%+141.89*25%</f>
        <v>67.056249999999991</v>
      </c>
      <c r="E25" s="56">
        <f t="shared" si="2"/>
        <v>689.22781705524244</v>
      </c>
      <c r="F25" s="56">
        <f t="shared" si="1"/>
        <v>756.28406705524242</v>
      </c>
      <c r="G25" s="380"/>
      <c r="I25" s="11" t="s">
        <v>49</v>
      </c>
      <c r="J25" s="11" t="s">
        <v>88</v>
      </c>
      <c r="K25" s="11" t="s">
        <v>90</v>
      </c>
      <c r="L25" s="11" t="s">
        <v>91</v>
      </c>
      <c r="M25" s="11" t="s">
        <v>212</v>
      </c>
      <c r="N25" s="11" t="s">
        <v>213</v>
      </c>
    </row>
    <row r="26" spans="2:14" s="10" customFormat="1" ht="16" customHeight="1" x14ac:dyDescent="0.2">
      <c r="B26" s="68">
        <v>2027</v>
      </c>
      <c r="C26" s="56">
        <v>0</v>
      </c>
      <c r="D26" s="56">
        <f>141.89*25%</f>
        <v>35.472499999999997</v>
      </c>
      <c r="E26" s="56">
        <f t="shared" si="2"/>
        <v>719.60938501137434</v>
      </c>
      <c r="F26" s="56">
        <f t="shared" si="1"/>
        <v>755.08188501137431</v>
      </c>
      <c r="G26" s="380"/>
      <c r="I26" s="2" t="s">
        <v>237</v>
      </c>
      <c r="J26" s="56">
        <v>3.25</v>
      </c>
      <c r="K26" s="56">
        <v>3.37</v>
      </c>
      <c r="L26" s="56">
        <v>3.45</v>
      </c>
      <c r="M26" s="63">
        <f t="shared" ref="M26:M33" si="3">INDEX(J26:L26,1,MATCH($F$5,$J$25:$L$25,0))</f>
        <v>3.37</v>
      </c>
      <c r="N26" s="44" t="s">
        <v>238</v>
      </c>
    </row>
    <row r="27" spans="2:14" s="10" customFormat="1" ht="16" customHeight="1" x14ac:dyDescent="0.2">
      <c r="B27" s="68" t="s">
        <v>546</v>
      </c>
      <c r="C27" s="56">
        <v>0</v>
      </c>
      <c r="D27" s="56">
        <v>0</v>
      </c>
      <c r="E27" s="56">
        <f t="shared" si="2"/>
        <v>742.37344191789953</v>
      </c>
      <c r="F27" s="56">
        <f t="shared" si="1"/>
        <v>742.37344191789953</v>
      </c>
      <c r="G27" s="381"/>
      <c r="I27" s="2" t="s">
        <v>239</v>
      </c>
      <c r="J27" s="64">
        <v>0.08</v>
      </c>
      <c r="K27" s="64">
        <v>7.0000000000000007E-2</v>
      </c>
      <c r="L27" s="64">
        <v>0.06</v>
      </c>
      <c r="M27" s="65">
        <f t="shared" si="3"/>
        <v>7.0000000000000007E-2</v>
      </c>
      <c r="N27" s="44" t="s">
        <v>240</v>
      </c>
    </row>
    <row r="28" spans="2:14" s="10" customFormat="1" ht="16" customHeight="1" x14ac:dyDescent="0.2">
      <c r="I28" s="2" t="s">
        <v>243</v>
      </c>
      <c r="J28" s="66">
        <v>2032</v>
      </c>
      <c r="K28" s="66">
        <v>2033</v>
      </c>
      <c r="L28" s="66">
        <v>2034</v>
      </c>
      <c r="M28" s="63">
        <f t="shared" si="3"/>
        <v>2033</v>
      </c>
      <c r="N28" s="44" t="s">
        <v>244</v>
      </c>
    </row>
    <row r="29" spans="2:14" s="10" customFormat="1" ht="16" customHeight="1" x14ac:dyDescent="0.2">
      <c r="B29" s="280" t="s">
        <v>450</v>
      </c>
      <c r="C29" s="280"/>
      <c r="D29" s="280"/>
      <c r="E29" s="280"/>
      <c r="F29" s="280"/>
      <c r="G29" s="280"/>
      <c r="I29" s="2" t="s">
        <v>249</v>
      </c>
      <c r="J29" s="67">
        <v>0.18</v>
      </c>
      <c r="K29" s="67">
        <v>0.18</v>
      </c>
      <c r="L29" s="67">
        <v>0.18</v>
      </c>
      <c r="M29" s="63">
        <f t="shared" si="3"/>
        <v>0.18</v>
      </c>
      <c r="N29" s="44" t="s">
        <v>250</v>
      </c>
    </row>
    <row r="30" spans="2:14" s="10" customFormat="1" ht="15" x14ac:dyDescent="0.2">
      <c r="B30" s="11" t="s">
        <v>18</v>
      </c>
      <c r="C30" s="11" t="s">
        <v>88</v>
      </c>
      <c r="D30" s="11" t="s">
        <v>90</v>
      </c>
      <c r="E30" s="11" t="s">
        <v>91</v>
      </c>
      <c r="F30" s="11" t="s">
        <v>212</v>
      </c>
      <c r="G30" s="11" t="s">
        <v>213</v>
      </c>
      <c r="I30" s="2" t="s">
        <v>251</v>
      </c>
      <c r="J30" s="67">
        <v>2.7320000000000002</v>
      </c>
      <c r="K30" s="67">
        <v>2.7320000000000002</v>
      </c>
      <c r="L30" s="67">
        <v>2.7320000000000002</v>
      </c>
      <c r="M30" s="63">
        <f t="shared" si="3"/>
        <v>2.7320000000000002</v>
      </c>
      <c r="N30" s="44" t="s">
        <v>250</v>
      </c>
    </row>
    <row r="31" spans="2:14" s="10" customFormat="1" ht="15" x14ac:dyDescent="0.2">
      <c r="B31" s="19">
        <v>2022</v>
      </c>
      <c r="C31" s="15">
        <v>4.24</v>
      </c>
      <c r="D31" s="15">
        <v>4.24</v>
      </c>
      <c r="E31" s="15">
        <v>4.24</v>
      </c>
      <c r="F31" s="63">
        <f>INDEX(C31:E31,1,MATCH($F$5,$C$30:$E$30,0))</f>
        <v>4.24</v>
      </c>
      <c r="G31" s="44" t="s">
        <v>255</v>
      </c>
      <c r="I31" s="2" t="s">
        <v>252</v>
      </c>
      <c r="J31" s="67">
        <v>3.33</v>
      </c>
      <c r="K31" s="67">
        <v>3.33</v>
      </c>
      <c r="L31" s="67">
        <v>3.33</v>
      </c>
      <c r="M31" s="63">
        <f t="shared" si="3"/>
        <v>3.33</v>
      </c>
      <c r="N31" s="44" t="s">
        <v>250</v>
      </c>
    </row>
    <row r="32" spans="2:14" s="10" customFormat="1" ht="15" x14ac:dyDescent="0.2">
      <c r="B32" s="19">
        <v>2023</v>
      </c>
      <c r="C32" s="15">
        <v>9.0500000000000007</v>
      </c>
      <c r="D32" s="15">
        <v>9.0500000000000007</v>
      </c>
      <c r="E32" s="15">
        <v>9.0500000000000007</v>
      </c>
      <c r="F32" s="63">
        <f>INDEX(C32:E32,1,MATCH($F$5,$C$30:$E$30,0))</f>
        <v>9.0500000000000007</v>
      </c>
      <c r="G32" s="44" t="s">
        <v>256</v>
      </c>
      <c r="I32" s="2" t="s">
        <v>253</v>
      </c>
      <c r="J32" s="69">
        <v>3.48</v>
      </c>
      <c r="K32" s="69">
        <v>3.48</v>
      </c>
      <c r="L32" s="69">
        <v>3.48</v>
      </c>
      <c r="M32" s="63">
        <f t="shared" si="3"/>
        <v>3.48</v>
      </c>
      <c r="N32" s="44" t="s">
        <v>416</v>
      </c>
    </row>
    <row r="33" spans="2:14" s="10" customFormat="1" ht="15" x14ac:dyDescent="0.2">
      <c r="B33" s="19">
        <v>2024</v>
      </c>
      <c r="C33" s="15">
        <v>9.52</v>
      </c>
      <c r="D33" s="15">
        <v>9.52</v>
      </c>
      <c r="E33" s="15">
        <v>9.52</v>
      </c>
      <c r="F33" s="63">
        <f>INDEX(C33:E33,1,MATCH($F$5,$C$30:$E$30,0))</f>
        <v>9.52</v>
      </c>
      <c r="G33" s="44" t="s">
        <v>256</v>
      </c>
      <c r="I33" s="2" t="s">
        <v>254</v>
      </c>
      <c r="J33" s="69">
        <v>3.29</v>
      </c>
      <c r="K33" s="69">
        <v>3.29</v>
      </c>
      <c r="L33" s="69">
        <v>3.29</v>
      </c>
      <c r="M33" s="63">
        <f t="shared" si="3"/>
        <v>3.29</v>
      </c>
      <c r="N33" s="44" t="s">
        <v>416</v>
      </c>
    </row>
    <row r="34" spans="2:14" s="10" customFormat="1" ht="15" x14ac:dyDescent="0.2">
      <c r="B34" s="19">
        <v>2025</v>
      </c>
      <c r="C34" s="15">
        <v>8.73</v>
      </c>
      <c r="D34" s="15">
        <v>8.73</v>
      </c>
      <c r="E34" s="15">
        <v>8.73</v>
      </c>
      <c r="F34" s="63">
        <f>INDEX(C34:E34,1,MATCH($F$5,$C$30:$E$30,0))</f>
        <v>8.73</v>
      </c>
      <c r="G34" s="44" t="s">
        <v>256</v>
      </c>
    </row>
    <row r="35" spans="2:14" s="10" customFormat="1" ht="15" x14ac:dyDescent="0.2">
      <c r="B35" s="68">
        <v>2026</v>
      </c>
      <c r="C35" s="56">
        <v>9.18</v>
      </c>
      <c r="D35" s="56">
        <v>10.8</v>
      </c>
      <c r="E35" s="56">
        <v>12.42</v>
      </c>
      <c r="F35" s="63">
        <f>INDEX(C35:E35,1,MATCH($F$5,$C$30:$E$30,0))</f>
        <v>10.8</v>
      </c>
      <c r="G35" s="44" t="s">
        <v>257</v>
      </c>
    </row>
    <row r="36" spans="2:14" s="10" customFormat="1" ht="16" x14ac:dyDescent="0.2">
      <c r="B36" s="68">
        <v>2027</v>
      </c>
      <c r="C36" s="56">
        <v>8.76</v>
      </c>
      <c r="D36" s="56">
        <v>10.3</v>
      </c>
      <c r="E36" s="56">
        <v>11.85</v>
      </c>
      <c r="F36" s="63">
        <f>INDEX(C36:E36,1,MATCH($F$5,$C$30:$E$30,0))</f>
        <v>10.3</v>
      </c>
      <c r="G36" s="44" t="s">
        <v>257</v>
      </c>
      <c r="I36" s="359" t="s">
        <v>449</v>
      </c>
      <c r="J36" s="360"/>
      <c r="K36" s="360"/>
      <c r="L36" s="360"/>
      <c r="M36" s="360"/>
      <c r="N36" s="361"/>
    </row>
    <row r="37" spans="2:14" s="10" customFormat="1" ht="15" x14ac:dyDescent="0.2">
      <c r="B37" s="68">
        <v>2028</v>
      </c>
      <c r="C37" s="56">
        <v>8.5</v>
      </c>
      <c r="D37" s="56">
        <v>10</v>
      </c>
      <c r="E37" s="56">
        <v>11.5</v>
      </c>
      <c r="F37" s="63">
        <f>INDEX(C37:E37,1,MATCH($F$5,$C$30:$E$30,0))</f>
        <v>10</v>
      </c>
      <c r="G37" s="44" t="s">
        <v>257</v>
      </c>
      <c r="I37" s="11" t="s">
        <v>18</v>
      </c>
      <c r="J37" s="11" t="s">
        <v>88</v>
      </c>
      <c r="K37" s="11" t="s">
        <v>90</v>
      </c>
      <c r="L37" s="11" t="s">
        <v>91</v>
      </c>
      <c r="M37" s="11" t="s">
        <v>212</v>
      </c>
      <c r="N37" s="11" t="s">
        <v>116</v>
      </c>
    </row>
    <row r="38" spans="2:14" ht="15" x14ac:dyDescent="0.2">
      <c r="B38" s="68">
        <v>2029</v>
      </c>
      <c r="C38" s="56">
        <v>8.33</v>
      </c>
      <c r="D38" s="56">
        <v>9.8000000000000007</v>
      </c>
      <c r="E38" s="56">
        <v>11.27</v>
      </c>
      <c r="F38" s="63">
        <f>INDEX(C38:E38,1,MATCH($F$5,$C$30:$E$30,0))</f>
        <v>9.8000000000000007</v>
      </c>
      <c r="G38" s="44" t="s">
        <v>257</v>
      </c>
      <c r="H38" s="40"/>
      <c r="I38" s="19">
        <v>2022</v>
      </c>
      <c r="J38" s="362">
        <f>+J29</f>
        <v>0.18</v>
      </c>
      <c r="K38" s="362">
        <f>+J29</f>
        <v>0.18</v>
      </c>
      <c r="L38" s="362">
        <f>+J29</f>
        <v>0.18</v>
      </c>
      <c r="M38" s="363">
        <f t="shared" ref="M38:M64" si="4">+INDEX(J38:L38,1,MATCH($F$5,$J$37:$L$37,0))</f>
        <v>0.18</v>
      </c>
      <c r="N38" s="364" t="s">
        <v>122</v>
      </c>
    </row>
    <row r="39" spans="2:14" ht="15" x14ac:dyDescent="0.2">
      <c r="B39" s="68">
        <v>2030</v>
      </c>
      <c r="C39" s="56">
        <v>8.16</v>
      </c>
      <c r="D39" s="56">
        <v>9.6</v>
      </c>
      <c r="E39" s="56">
        <v>11.04</v>
      </c>
      <c r="F39" s="63">
        <f>INDEX(C39:E39,1,MATCH($F$5,$C$30:$E$30,0))</f>
        <v>9.6</v>
      </c>
      <c r="G39" s="44" t="s">
        <v>257</v>
      </c>
      <c r="I39" s="19">
        <v>2023</v>
      </c>
      <c r="J39" s="362">
        <f>+J30</f>
        <v>2.7320000000000002</v>
      </c>
      <c r="K39" s="362">
        <f>+J30</f>
        <v>2.7320000000000002</v>
      </c>
      <c r="L39" s="362">
        <f>+J30</f>
        <v>2.7320000000000002</v>
      </c>
      <c r="M39" s="363">
        <f t="shared" si="4"/>
        <v>2.7320000000000002</v>
      </c>
      <c r="N39" s="364" t="s">
        <v>122</v>
      </c>
    </row>
    <row r="40" spans="2:14" ht="15" x14ac:dyDescent="0.2">
      <c r="B40" s="68">
        <v>2031</v>
      </c>
      <c r="C40" s="56">
        <v>8.07</v>
      </c>
      <c r="D40" s="56">
        <v>9.5</v>
      </c>
      <c r="E40" s="56">
        <v>10.92</v>
      </c>
      <c r="F40" s="63">
        <f>INDEX(C40:E40,1,MATCH($F$5,$C$30:$E$30,0))</f>
        <v>9.5</v>
      </c>
      <c r="G40" s="44" t="s">
        <v>257</v>
      </c>
      <c r="I40" s="24">
        <v>2024</v>
      </c>
      <c r="J40" s="365">
        <f>+J31</f>
        <v>3.33</v>
      </c>
      <c r="K40" s="365">
        <f>+J31</f>
        <v>3.33</v>
      </c>
      <c r="L40" s="365">
        <f>+J31</f>
        <v>3.33</v>
      </c>
      <c r="M40" s="363">
        <f t="shared" si="4"/>
        <v>3.33</v>
      </c>
      <c r="N40" s="366" t="s">
        <v>123</v>
      </c>
    </row>
    <row r="41" spans="2:14" ht="15" x14ac:dyDescent="0.2">
      <c r="B41" s="68">
        <v>2032</v>
      </c>
      <c r="C41" s="56">
        <v>7.99</v>
      </c>
      <c r="D41" s="56">
        <v>9.4</v>
      </c>
      <c r="E41" s="56">
        <v>10.81</v>
      </c>
      <c r="F41" s="63">
        <f>INDEX(C41:E41,1,MATCH($F$5,$C$30:$E$30,0))</f>
        <v>9.4</v>
      </c>
      <c r="G41" s="44" t="s">
        <v>257</v>
      </c>
      <c r="I41" s="24">
        <v>2025</v>
      </c>
      <c r="J41" s="365">
        <f>+J32</f>
        <v>3.48</v>
      </c>
      <c r="K41" s="365">
        <f>+J32</f>
        <v>3.48</v>
      </c>
      <c r="L41" s="365">
        <f>+J32</f>
        <v>3.48</v>
      </c>
      <c r="M41" s="363">
        <f t="shared" si="4"/>
        <v>3.48</v>
      </c>
      <c r="N41" s="366" t="s">
        <v>123</v>
      </c>
    </row>
    <row r="42" spans="2:14" ht="15" x14ac:dyDescent="0.2">
      <c r="B42" s="68">
        <v>2033</v>
      </c>
      <c r="C42" s="56">
        <v>7.91</v>
      </c>
      <c r="D42" s="56">
        <v>9.3000000000000007</v>
      </c>
      <c r="E42" s="56">
        <v>10.7</v>
      </c>
      <c r="F42" s="63">
        <f>INDEX(C42:E42,1,MATCH($F$5,$C$30:$E$30,0))</f>
        <v>9.3000000000000007</v>
      </c>
      <c r="G42" s="44" t="s">
        <v>257</v>
      </c>
      <c r="I42" s="24">
        <v>2026</v>
      </c>
      <c r="J42" s="365">
        <f>+J33</f>
        <v>3.29</v>
      </c>
      <c r="K42" s="365">
        <f>+J33</f>
        <v>3.29</v>
      </c>
      <c r="L42" s="365">
        <f>+J33</f>
        <v>3.29</v>
      </c>
      <c r="M42" s="363">
        <f t="shared" si="4"/>
        <v>3.29</v>
      </c>
      <c r="N42" s="366" t="s">
        <v>123</v>
      </c>
    </row>
    <row r="43" spans="2:14" ht="15" x14ac:dyDescent="0.2">
      <c r="B43" s="68">
        <v>2034</v>
      </c>
      <c r="C43" s="56">
        <v>7.82</v>
      </c>
      <c r="D43" s="56">
        <v>9.1999999999999993</v>
      </c>
      <c r="E43" s="56">
        <v>10.58</v>
      </c>
      <c r="F43" s="63">
        <f>INDEX(C43:E43,1,MATCH($F$5,$C$30:$E$30,0))</f>
        <v>9.1999999999999993</v>
      </c>
      <c r="G43" s="44" t="s">
        <v>257</v>
      </c>
      <c r="I43" s="24">
        <v>2027</v>
      </c>
      <c r="J43" s="365">
        <f t="shared" ref="J43:L64" si="5">IF($I43&lt;=J$28,J$26,J$26*(1-J$27)^($I43-J$28))</f>
        <v>3.25</v>
      </c>
      <c r="K43" s="365">
        <f t="shared" si="5"/>
        <v>3.37</v>
      </c>
      <c r="L43" s="365">
        <f t="shared" si="5"/>
        <v>3.45</v>
      </c>
      <c r="M43" s="363">
        <f t="shared" si="4"/>
        <v>3.37</v>
      </c>
      <c r="N43" s="366" t="s">
        <v>123</v>
      </c>
    </row>
    <row r="44" spans="2:14" ht="15" x14ac:dyDescent="0.2">
      <c r="B44" s="68">
        <v>2035</v>
      </c>
      <c r="C44" s="56">
        <v>7.73</v>
      </c>
      <c r="D44" s="56">
        <v>9.1</v>
      </c>
      <c r="E44" s="56">
        <v>10.46</v>
      </c>
      <c r="F44" s="63">
        <f>INDEX(C44:E44,1,MATCH($F$5,$C$30:$E$30,0))</f>
        <v>9.1</v>
      </c>
      <c r="G44" s="44" t="s">
        <v>257</v>
      </c>
      <c r="I44" s="24">
        <v>2028</v>
      </c>
      <c r="J44" s="365">
        <f t="shared" si="5"/>
        <v>3.25</v>
      </c>
      <c r="K44" s="365">
        <f t="shared" si="5"/>
        <v>3.37</v>
      </c>
      <c r="L44" s="365">
        <f t="shared" si="5"/>
        <v>3.45</v>
      </c>
      <c r="M44" s="363">
        <f t="shared" si="4"/>
        <v>3.37</v>
      </c>
      <c r="N44" s="366" t="s">
        <v>123</v>
      </c>
    </row>
    <row r="45" spans="2:14" ht="15" x14ac:dyDescent="0.2">
      <c r="B45" s="68">
        <v>2036</v>
      </c>
      <c r="C45" s="56">
        <v>7.73</v>
      </c>
      <c r="D45" s="56">
        <v>9.1</v>
      </c>
      <c r="E45" s="56">
        <v>10.46</v>
      </c>
      <c r="F45" s="63">
        <f>INDEX(C45:E45,1,MATCH($F$5,$C$30:$E$30,0))</f>
        <v>9.1</v>
      </c>
      <c r="G45" s="44" t="s">
        <v>257</v>
      </c>
      <c r="I45" s="24">
        <v>2029</v>
      </c>
      <c r="J45" s="365">
        <f t="shared" si="5"/>
        <v>3.25</v>
      </c>
      <c r="K45" s="365">
        <f t="shared" si="5"/>
        <v>3.37</v>
      </c>
      <c r="L45" s="365">
        <f t="shared" si="5"/>
        <v>3.45</v>
      </c>
      <c r="M45" s="363">
        <f t="shared" si="4"/>
        <v>3.37</v>
      </c>
      <c r="N45" s="366" t="s">
        <v>123</v>
      </c>
    </row>
    <row r="46" spans="2:14" ht="15" x14ac:dyDescent="0.2">
      <c r="B46" s="68">
        <v>2037</v>
      </c>
      <c r="C46" s="56">
        <v>7.65</v>
      </c>
      <c r="D46" s="56">
        <v>9</v>
      </c>
      <c r="E46" s="56">
        <v>10.35</v>
      </c>
      <c r="F46" s="63">
        <f>INDEX(C46:E46,1,MATCH($F$5,$C$30:$E$30,0))</f>
        <v>9</v>
      </c>
      <c r="G46" s="44" t="s">
        <v>257</v>
      </c>
      <c r="I46" s="24">
        <v>2030</v>
      </c>
      <c r="J46" s="365">
        <f t="shared" si="5"/>
        <v>3.25</v>
      </c>
      <c r="K46" s="365">
        <f t="shared" si="5"/>
        <v>3.37</v>
      </c>
      <c r="L46" s="365">
        <f t="shared" si="5"/>
        <v>3.45</v>
      </c>
      <c r="M46" s="363">
        <f t="shared" si="4"/>
        <v>3.37</v>
      </c>
      <c r="N46" s="366" t="s">
        <v>123</v>
      </c>
    </row>
    <row r="47" spans="2:14" ht="15" x14ac:dyDescent="0.2">
      <c r="B47" s="68">
        <v>2038</v>
      </c>
      <c r="C47" s="56">
        <v>7.65</v>
      </c>
      <c r="D47" s="56">
        <v>9</v>
      </c>
      <c r="E47" s="56">
        <v>10.35</v>
      </c>
      <c r="F47" s="63">
        <f>INDEX(C47:E47,1,MATCH($F$5,$C$30:$E$30,0))</f>
        <v>9</v>
      </c>
      <c r="G47" s="44" t="s">
        <v>257</v>
      </c>
      <c r="I47" s="24">
        <v>2031</v>
      </c>
      <c r="J47" s="365">
        <f t="shared" si="5"/>
        <v>3.25</v>
      </c>
      <c r="K47" s="365">
        <f t="shared" si="5"/>
        <v>3.37</v>
      </c>
      <c r="L47" s="365">
        <f t="shared" si="5"/>
        <v>3.45</v>
      </c>
      <c r="M47" s="363">
        <f t="shared" si="4"/>
        <v>3.37</v>
      </c>
      <c r="N47" s="366" t="s">
        <v>123</v>
      </c>
    </row>
    <row r="48" spans="2:14" ht="15" x14ac:dyDescent="0.2">
      <c r="B48" s="68">
        <v>2039</v>
      </c>
      <c r="C48" s="56">
        <v>7.57</v>
      </c>
      <c r="D48" s="56">
        <v>8.9</v>
      </c>
      <c r="E48" s="56">
        <v>10.23</v>
      </c>
      <c r="F48" s="63">
        <f>INDEX(C48:E48,1,MATCH($F$5,$C$30:$E$30,0))</f>
        <v>8.9</v>
      </c>
      <c r="G48" s="44" t="s">
        <v>257</v>
      </c>
      <c r="I48" s="24">
        <v>2032</v>
      </c>
      <c r="J48" s="365">
        <f t="shared" si="5"/>
        <v>3.25</v>
      </c>
      <c r="K48" s="365">
        <f t="shared" si="5"/>
        <v>3.37</v>
      </c>
      <c r="L48" s="365">
        <f t="shared" si="5"/>
        <v>3.45</v>
      </c>
      <c r="M48" s="363">
        <f t="shared" si="4"/>
        <v>3.37</v>
      </c>
      <c r="N48" s="366" t="s">
        <v>123</v>
      </c>
    </row>
    <row r="49" spans="1:162" ht="15" x14ac:dyDescent="0.2">
      <c r="B49" s="68">
        <v>2040</v>
      </c>
      <c r="C49" s="56">
        <v>7.57</v>
      </c>
      <c r="D49" s="56">
        <v>8.9</v>
      </c>
      <c r="E49" s="56">
        <v>10.23</v>
      </c>
      <c r="F49" s="63">
        <f>INDEX(C49:E49,1,MATCH($F$5,$C$30:$E$30,0))</f>
        <v>8.9</v>
      </c>
      <c r="G49" s="44" t="s">
        <v>257</v>
      </c>
      <c r="I49" s="24">
        <v>2033</v>
      </c>
      <c r="J49" s="365">
        <f>IF($I49&lt;=J$28,J$26,J$26*(1-J$27)^($I49-J$28))</f>
        <v>2.99</v>
      </c>
      <c r="K49" s="365">
        <f>IF($I49&lt;=K$28,K$26,K$26*(1-K$27)^($I49-K$28))</f>
        <v>3.37</v>
      </c>
      <c r="L49" s="365">
        <f>IF($I49&lt;=L$28,L$26,L$26*(1-L$27)^($I49-L$28))</f>
        <v>3.45</v>
      </c>
      <c r="M49" s="363">
        <f t="shared" si="4"/>
        <v>3.37</v>
      </c>
      <c r="N49" s="366" t="s">
        <v>123</v>
      </c>
    </row>
    <row r="50" spans="1:162" ht="15" x14ac:dyDescent="0.2">
      <c r="B50" s="68">
        <v>2041</v>
      </c>
      <c r="C50" s="56">
        <v>7.48</v>
      </c>
      <c r="D50" s="56">
        <v>8.8000000000000007</v>
      </c>
      <c r="E50" s="56">
        <v>10.119999999999999</v>
      </c>
      <c r="F50" s="63">
        <f>INDEX(C50:E50,1,MATCH($F$5,$C$30:$E$30,0))</f>
        <v>8.8000000000000007</v>
      </c>
      <c r="G50" s="44" t="s">
        <v>257</v>
      </c>
      <c r="I50" s="29">
        <v>2034</v>
      </c>
      <c r="J50" s="367">
        <f t="shared" si="5"/>
        <v>2.7507999999999999</v>
      </c>
      <c r="K50" s="367">
        <f t="shared" si="5"/>
        <v>3.1341000000000001</v>
      </c>
      <c r="L50" s="367">
        <f t="shared" si="5"/>
        <v>3.45</v>
      </c>
      <c r="M50" s="363">
        <f t="shared" si="4"/>
        <v>3.1341000000000001</v>
      </c>
      <c r="N50" s="368" t="s">
        <v>124</v>
      </c>
    </row>
    <row r="51" spans="1:162" ht="15" x14ac:dyDescent="0.2">
      <c r="B51" s="68">
        <v>2042</v>
      </c>
      <c r="C51" s="56">
        <v>7.48</v>
      </c>
      <c r="D51" s="56">
        <v>8.8000000000000007</v>
      </c>
      <c r="E51" s="56">
        <v>10.119999999999999</v>
      </c>
      <c r="F51" s="63">
        <f>INDEX(C51:E51,1,MATCH($F$5,$C$30:$E$30,0))</f>
        <v>8.8000000000000007</v>
      </c>
      <c r="G51" s="44" t="s">
        <v>257</v>
      </c>
      <c r="I51" s="29">
        <v>2035</v>
      </c>
      <c r="J51" s="367">
        <f t="shared" si="5"/>
        <v>2.5307360000000001</v>
      </c>
      <c r="K51" s="367">
        <f t="shared" si="5"/>
        <v>2.9147129999999999</v>
      </c>
      <c r="L51" s="367">
        <f t="shared" si="5"/>
        <v>3.2429999999999999</v>
      </c>
      <c r="M51" s="363">
        <f t="shared" si="4"/>
        <v>2.9147129999999999</v>
      </c>
      <c r="N51" s="368" t="s">
        <v>124</v>
      </c>
    </row>
    <row r="52" spans="1:162" ht="15" customHeight="1" x14ac:dyDescent="0.2">
      <c r="B52" s="68">
        <v>2043</v>
      </c>
      <c r="C52" s="56">
        <v>7.48</v>
      </c>
      <c r="D52" s="56">
        <v>8.8000000000000007</v>
      </c>
      <c r="E52" s="56">
        <v>10.119999999999999</v>
      </c>
      <c r="F52" s="63">
        <f>INDEX(C52:E52,1,MATCH($F$5,$C$30:$E$30,0))</f>
        <v>8.8000000000000007</v>
      </c>
      <c r="G52" s="44" t="s">
        <v>257</v>
      </c>
      <c r="I52" s="29">
        <v>2036</v>
      </c>
      <c r="J52" s="367">
        <f t="shared" si="5"/>
        <v>2.3282771200000001</v>
      </c>
      <c r="K52" s="367">
        <f t="shared" si="5"/>
        <v>2.7106830899999999</v>
      </c>
      <c r="L52" s="367">
        <f t="shared" si="5"/>
        <v>3.0484200000000001</v>
      </c>
      <c r="M52" s="363">
        <f t="shared" si="4"/>
        <v>2.7106830899999999</v>
      </c>
      <c r="N52" s="368" t="s">
        <v>124</v>
      </c>
    </row>
    <row r="53" spans="1:162" ht="15" customHeight="1" x14ac:dyDescent="0.2">
      <c r="B53" s="68">
        <v>2044</v>
      </c>
      <c r="C53" s="56">
        <v>7.48</v>
      </c>
      <c r="D53" s="56">
        <v>8.8000000000000007</v>
      </c>
      <c r="E53" s="56">
        <v>10.119999999999999</v>
      </c>
      <c r="F53" s="63">
        <f>INDEX(C53:E53,1,MATCH($F$5,$C$30:$E$30,0))</f>
        <v>8.8000000000000007</v>
      </c>
      <c r="G53" s="44" t="s">
        <v>257</v>
      </c>
      <c r="I53" s="29">
        <v>2037</v>
      </c>
      <c r="J53" s="367">
        <f t="shared" si="5"/>
        <v>2.1420149504000006</v>
      </c>
      <c r="K53" s="367">
        <f t="shared" si="5"/>
        <v>2.5209352736999993</v>
      </c>
      <c r="L53" s="367">
        <f t="shared" si="5"/>
        <v>2.8655147999999997</v>
      </c>
      <c r="M53" s="363">
        <f t="shared" si="4"/>
        <v>2.5209352736999993</v>
      </c>
      <c r="N53" s="368" t="s">
        <v>124</v>
      </c>
    </row>
    <row r="54" spans="1:162" ht="15" customHeight="1" x14ac:dyDescent="0.2">
      <c r="B54" s="68">
        <v>2045</v>
      </c>
      <c r="C54" s="56">
        <v>7.48</v>
      </c>
      <c r="D54" s="56">
        <v>8.8000000000000007</v>
      </c>
      <c r="E54" s="56">
        <v>10.119999999999999</v>
      </c>
      <c r="F54" s="63">
        <f>INDEX(C54:E54,1,MATCH($F$5,$C$30:$E$30,0))</f>
        <v>8.8000000000000007</v>
      </c>
      <c r="G54" s="44" t="s">
        <v>257</v>
      </c>
      <c r="I54" s="29">
        <v>2038</v>
      </c>
      <c r="J54" s="367">
        <f t="shared" si="5"/>
        <v>1.9706537543680003</v>
      </c>
      <c r="K54" s="367">
        <f t="shared" si="5"/>
        <v>2.3444698045409993</v>
      </c>
      <c r="L54" s="367">
        <f t="shared" si="5"/>
        <v>2.6935839119999998</v>
      </c>
      <c r="M54" s="363">
        <f t="shared" si="4"/>
        <v>2.3444698045409993</v>
      </c>
      <c r="N54" s="368" t="s">
        <v>124</v>
      </c>
    </row>
    <row r="55" spans="1:162" ht="15" customHeight="1" x14ac:dyDescent="0.2">
      <c r="B55" s="68">
        <v>2046</v>
      </c>
      <c r="C55" s="56">
        <v>7.48</v>
      </c>
      <c r="D55" s="56">
        <v>8.8000000000000007</v>
      </c>
      <c r="E55" s="56">
        <v>10.119999999999999</v>
      </c>
      <c r="F55" s="63">
        <f>INDEX(C55:E55,1,MATCH($F$5,$C$30:$E$30,0))</f>
        <v>8.8000000000000007</v>
      </c>
      <c r="G55" s="44" t="s">
        <v>257</v>
      </c>
      <c r="I55" s="29">
        <v>2039</v>
      </c>
      <c r="J55" s="367">
        <f t="shared" si="5"/>
        <v>1.8130014540185604</v>
      </c>
      <c r="K55" s="367">
        <f t="shared" si="5"/>
        <v>2.1803569182231293</v>
      </c>
      <c r="L55" s="367">
        <f t="shared" si="5"/>
        <v>2.5319688772799998</v>
      </c>
      <c r="M55" s="363">
        <f t="shared" si="4"/>
        <v>2.1803569182231293</v>
      </c>
      <c r="N55" s="368" t="s">
        <v>124</v>
      </c>
    </row>
    <row r="56" spans="1:162" ht="15" customHeight="1" x14ac:dyDescent="0.2">
      <c r="B56" s="68">
        <v>2047</v>
      </c>
      <c r="C56" s="56">
        <v>7.48</v>
      </c>
      <c r="D56" s="56">
        <v>8.8000000000000007</v>
      </c>
      <c r="E56" s="56">
        <v>10.119999999999999</v>
      </c>
      <c r="F56" s="63">
        <f>INDEX(C56:E56,1,MATCH($F$5,$C$30:$E$30,0))</f>
        <v>8.8000000000000007</v>
      </c>
      <c r="G56" s="44" t="s">
        <v>257</v>
      </c>
      <c r="I56" s="29">
        <v>2040</v>
      </c>
      <c r="J56" s="367">
        <f t="shared" si="5"/>
        <v>1.6679613376970757</v>
      </c>
      <c r="K56" s="367">
        <f t="shared" si="5"/>
        <v>2.0277319339475102</v>
      </c>
      <c r="L56" s="367">
        <f t="shared" si="5"/>
        <v>2.3800507446431998</v>
      </c>
      <c r="M56" s="363">
        <f t="shared" si="4"/>
        <v>2.0277319339475102</v>
      </c>
      <c r="N56" s="368" t="s">
        <v>124</v>
      </c>
    </row>
    <row r="57" spans="1:162" ht="15" customHeight="1" x14ac:dyDescent="0.2">
      <c r="B57" s="68">
        <v>2048</v>
      </c>
      <c r="C57" s="56">
        <v>7.48</v>
      </c>
      <c r="D57" s="56">
        <v>8.8000000000000007</v>
      </c>
      <c r="E57" s="56">
        <v>10.119999999999999</v>
      </c>
      <c r="F57" s="63">
        <f>INDEX(C57:E57,1,MATCH($F$5,$C$30:$E$30,0))</f>
        <v>8.8000000000000007</v>
      </c>
      <c r="G57" s="44" t="s">
        <v>257</v>
      </c>
      <c r="I57" s="29">
        <v>2041</v>
      </c>
      <c r="J57" s="367">
        <f t="shared" si="5"/>
        <v>1.5345244306813097</v>
      </c>
      <c r="K57" s="367">
        <f t="shared" si="5"/>
        <v>1.8857906985711841</v>
      </c>
      <c r="L57" s="367">
        <f t="shared" si="5"/>
        <v>2.2372476999646076</v>
      </c>
      <c r="M57" s="363">
        <f t="shared" si="4"/>
        <v>1.8857906985711841</v>
      </c>
      <c r="N57" s="368" t="s">
        <v>124</v>
      </c>
    </row>
    <row r="58" spans="1:162" ht="52" customHeight="1" x14ac:dyDescent="0.2">
      <c r="B58" s="378" t="s">
        <v>258</v>
      </c>
      <c r="C58" s="378"/>
      <c r="D58" s="378"/>
      <c r="E58" s="378"/>
      <c r="F58" s="378"/>
      <c r="G58" s="378"/>
      <c r="I58" s="29">
        <v>2042</v>
      </c>
      <c r="J58" s="367">
        <f t="shared" si="5"/>
        <v>1.4117624762268051</v>
      </c>
      <c r="K58" s="367">
        <f t="shared" si="5"/>
        <v>1.753785349671201</v>
      </c>
      <c r="L58" s="367">
        <f t="shared" si="5"/>
        <v>2.1030128379667312</v>
      </c>
      <c r="M58" s="363">
        <f t="shared" si="4"/>
        <v>1.753785349671201</v>
      </c>
      <c r="N58" s="368" t="s">
        <v>124</v>
      </c>
    </row>
    <row r="59" spans="1:162" ht="15" customHeight="1" x14ac:dyDescent="0.2">
      <c r="B59" s="10"/>
      <c r="C59" s="10"/>
      <c r="D59" s="10"/>
      <c r="E59" s="10"/>
      <c r="F59" s="10"/>
      <c r="G59" s="10"/>
      <c r="I59" s="29">
        <v>2043</v>
      </c>
      <c r="J59" s="367">
        <f t="shared" si="5"/>
        <v>1.2988214781286607</v>
      </c>
      <c r="K59" s="367">
        <f t="shared" si="5"/>
        <v>1.6310203751942169</v>
      </c>
      <c r="L59" s="367">
        <f t="shared" si="5"/>
        <v>1.9768320676887272</v>
      </c>
      <c r="M59" s="363">
        <f t="shared" si="4"/>
        <v>1.6310203751942169</v>
      </c>
      <c r="N59" s="368" t="s">
        <v>124</v>
      </c>
    </row>
    <row r="60" spans="1:162" ht="15" customHeight="1" x14ac:dyDescent="0.2">
      <c r="B60" s="280" t="s">
        <v>451</v>
      </c>
      <c r="C60" s="280"/>
      <c r="D60" s="280"/>
      <c r="E60" s="280"/>
      <c r="F60" s="280"/>
      <c r="G60" s="280"/>
      <c r="I60" s="29">
        <v>2044</v>
      </c>
      <c r="J60" s="367">
        <f t="shared" si="5"/>
        <v>1.1949157598783677</v>
      </c>
      <c r="K60" s="367">
        <f t="shared" si="5"/>
        <v>1.5168489489306216</v>
      </c>
      <c r="L60" s="367">
        <f t="shared" si="5"/>
        <v>1.8582221436274038</v>
      </c>
      <c r="M60" s="363">
        <f t="shared" si="4"/>
        <v>1.5168489489306216</v>
      </c>
      <c r="N60" s="368" t="s">
        <v>124</v>
      </c>
    </row>
    <row r="61" spans="1:162" s="10" customFormat="1" ht="16" customHeight="1" x14ac:dyDescent="0.2">
      <c r="B61" s="11" t="s">
        <v>18</v>
      </c>
      <c r="C61" s="11" t="s">
        <v>259</v>
      </c>
      <c r="D61" s="11" t="s">
        <v>86</v>
      </c>
      <c r="E61" s="272" t="s">
        <v>260</v>
      </c>
      <c r="F61" s="290"/>
      <c r="G61" s="273"/>
      <c r="I61" s="29">
        <v>2045</v>
      </c>
      <c r="J61" s="367">
        <f t="shared" si="5"/>
        <v>1.0993224990880983</v>
      </c>
      <c r="K61" s="367">
        <f t="shared" si="5"/>
        <v>1.4106695225054779</v>
      </c>
      <c r="L61" s="367">
        <f t="shared" si="5"/>
        <v>1.7467288150097595</v>
      </c>
      <c r="M61" s="363">
        <f t="shared" si="4"/>
        <v>1.4106695225054779</v>
      </c>
      <c r="N61" s="368" t="s">
        <v>124</v>
      </c>
    </row>
    <row r="62" spans="1:162" s="10" customFormat="1" ht="15" x14ac:dyDescent="0.2">
      <c r="B62" s="70">
        <v>2022</v>
      </c>
      <c r="C62" s="62">
        <v>8.6699999999999999E-2</v>
      </c>
      <c r="D62" s="2" t="s">
        <v>261</v>
      </c>
      <c r="E62" s="285" t="s">
        <v>435</v>
      </c>
      <c r="F62" s="286"/>
      <c r="G62" s="287"/>
      <c r="I62" s="29">
        <v>2046</v>
      </c>
      <c r="J62" s="367">
        <f t="shared" si="5"/>
        <v>1.0113766991610507</v>
      </c>
      <c r="K62" s="367">
        <f t="shared" si="5"/>
        <v>1.3119226559300945</v>
      </c>
      <c r="L62" s="367">
        <f t="shared" si="5"/>
        <v>1.6419250861091739</v>
      </c>
      <c r="M62" s="363">
        <f t="shared" si="4"/>
        <v>1.3119226559300945</v>
      </c>
      <c r="N62" s="368" t="s">
        <v>124</v>
      </c>
    </row>
    <row r="63" spans="1:162" ht="15" x14ac:dyDescent="0.2">
      <c r="B63" s="70">
        <v>2023</v>
      </c>
      <c r="C63" s="62">
        <v>6.7500000000000004E-2</v>
      </c>
      <c r="D63" s="2" t="s">
        <v>261</v>
      </c>
      <c r="E63" s="285" t="s">
        <v>435</v>
      </c>
      <c r="F63" s="286"/>
      <c r="G63" s="287"/>
      <c r="H63" s="40"/>
      <c r="I63" s="29">
        <v>2047</v>
      </c>
      <c r="J63" s="367">
        <f t="shared" si="5"/>
        <v>0.93046656322816657</v>
      </c>
      <c r="K63" s="367">
        <f t="shared" si="5"/>
        <v>1.2200880700149879</v>
      </c>
      <c r="L63" s="367">
        <f t="shared" si="5"/>
        <v>1.5434095809426234</v>
      </c>
      <c r="M63" s="363">
        <f t="shared" si="4"/>
        <v>1.2200880700149879</v>
      </c>
      <c r="N63" s="368" t="s">
        <v>124</v>
      </c>
    </row>
    <row r="64" spans="1:162" s="74" customFormat="1" ht="15" x14ac:dyDescent="0.2">
      <c r="A64" s="73"/>
      <c r="B64" s="70">
        <v>2024</v>
      </c>
      <c r="C64" s="62">
        <v>5.79E-2</v>
      </c>
      <c r="D64" s="2" t="s">
        <v>261</v>
      </c>
      <c r="E64" s="285" t="s">
        <v>435</v>
      </c>
      <c r="F64" s="286"/>
      <c r="G64" s="287"/>
      <c r="H64" s="73"/>
      <c r="I64" s="29">
        <v>2048</v>
      </c>
      <c r="J64" s="367">
        <f t="shared" si="5"/>
        <v>0.85602923816991328</v>
      </c>
      <c r="K64" s="367">
        <f t="shared" si="5"/>
        <v>1.1346819051139385</v>
      </c>
      <c r="L64" s="367">
        <f t="shared" si="5"/>
        <v>1.4508050060860662</v>
      </c>
      <c r="M64" s="363">
        <f t="shared" si="4"/>
        <v>1.1346819051139385</v>
      </c>
      <c r="N64" s="368" t="s">
        <v>124</v>
      </c>
      <c r="O64" s="10"/>
      <c r="P64" s="10"/>
      <c r="Q64" s="10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</row>
    <row r="65" spans="2:17" s="10" customFormat="1" ht="15" x14ac:dyDescent="0.2">
      <c r="B65" s="70">
        <v>2025</v>
      </c>
      <c r="C65" s="62">
        <v>4.1300000000000003E-2</v>
      </c>
      <c r="D65" s="2" t="s">
        <v>261</v>
      </c>
      <c r="E65" s="285" t="s">
        <v>436</v>
      </c>
      <c r="F65" s="286"/>
      <c r="G65" s="287"/>
    </row>
    <row r="66" spans="2:17" s="10" customFormat="1" ht="16" x14ac:dyDescent="0.2">
      <c r="B66" s="70">
        <v>2026</v>
      </c>
      <c r="C66" s="62">
        <v>4.4200000000000003E-2</v>
      </c>
      <c r="D66" s="2" t="s">
        <v>261</v>
      </c>
      <c r="E66" s="285" t="s">
        <v>436</v>
      </c>
      <c r="F66" s="286"/>
      <c r="G66" s="287"/>
      <c r="I66" s="266" t="s">
        <v>452</v>
      </c>
      <c r="J66" s="266"/>
      <c r="K66" s="266"/>
      <c r="L66" s="266"/>
      <c r="M66" s="266"/>
      <c r="N66" s="266"/>
    </row>
    <row r="67" spans="2:17" s="10" customFormat="1" ht="15" x14ac:dyDescent="0.2">
      <c r="B67" s="70">
        <v>2027</v>
      </c>
      <c r="C67" s="62">
        <v>3.6600000000000001E-2</v>
      </c>
      <c r="D67" s="2" t="s">
        <v>261</v>
      </c>
      <c r="E67" s="285" t="s">
        <v>436</v>
      </c>
      <c r="F67" s="286"/>
      <c r="G67" s="287"/>
      <c r="I67" s="46" t="s">
        <v>49</v>
      </c>
      <c r="J67" s="46" t="s">
        <v>88</v>
      </c>
      <c r="K67" s="46" t="s">
        <v>90</v>
      </c>
      <c r="L67" s="46" t="s">
        <v>91</v>
      </c>
      <c r="M67" s="281" t="s">
        <v>213</v>
      </c>
      <c r="N67" s="282"/>
    </row>
    <row r="68" spans="2:17" s="10" customFormat="1" ht="30" x14ac:dyDescent="0.2">
      <c r="B68" s="70">
        <v>2028</v>
      </c>
      <c r="C68" s="62">
        <v>3.3599999999999998E-2</v>
      </c>
      <c r="D68" s="2" t="s">
        <v>261</v>
      </c>
      <c r="E68" s="285" t="s">
        <v>436</v>
      </c>
      <c r="F68" s="286"/>
      <c r="G68" s="287"/>
      <c r="I68" s="71" t="s">
        <v>529</v>
      </c>
      <c r="J68" s="72">
        <v>435.12</v>
      </c>
      <c r="K68" s="75">
        <v>395.56</v>
      </c>
      <c r="L68" s="72">
        <v>375.78</v>
      </c>
      <c r="M68" s="283" t="s">
        <v>532</v>
      </c>
      <c r="N68" s="284"/>
    </row>
    <row r="69" spans="2:17" s="8" customFormat="1" ht="30" x14ac:dyDescent="0.2">
      <c r="B69" s="70">
        <v>2029</v>
      </c>
      <c r="C69" s="62">
        <v>3.2199999999999999E-2</v>
      </c>
      <c r="D69" s="2" t="s">
        <v>261</v>
      </c>
      <c r="E69" s="285" t="s">
        <v>436</v>
      </c>
      <c r="F69" s="286"/>
      <c r="G69" s="287"/>
      <c r="I69" s="71" t="s">
        <v>530</v>
      </c>
      <c r="J69" s="72">
        <v>80.09</v>
      </c>
      <c r="K69" s="72">
        <v>72.8</v>
      </c>
      <c r="L69" s="72">
        <v>69.16</v>
      </c>
      <c r="M69" s="283" t="s">
        <v>531</v>
      </c>
      <c r="N69" s="284"/>
      <c r="O69" s="73"/>
      <c r="P69" s="73"/>
      <c r="Q69" s="73"/>
    </row>
    <row r="70" spans="2:17" s="10" customFormat="1" ht="15" x14ac:dyDescent="0.2">
      <c r="B70" s="70">
        <v>2030</v>
      </c>
      <c r="C70" s="62">
        <v>3.2000000000000001E-2</v>
      </c>
      <c r="D70" s="2" t="s">
        <v>261</v>
      </c>
      <c r="E70" s="285" t="s">
        <v>436</v>
      </c>
      <c r="F70" s="286"/>
      <c r="G70" s="287"/>
      <c r="I70" s="71" t="s">
        <v>262</v>
      </c>
      <c r="J70" s="76">
        <v>2.5000000000000001E-3</v>
      </c>
      <c r="K70" s="76">
        <v>5.0000000000000001E-3</v>
      </c>
      <c r="L70" s="76">
        <v>0.01</v>
      </c>
      <c r="M70" s="283" t="s">
        <v>263</v>
      </c>
      <c r="N70" s="284"/>
    </row>
    <row r="71" spans="2:17" s="10" customFormat="1" ht="30" x14ac:dyDescent="0.2">
      <c r="B71" s="70">
        <v>2031</v>
      </c>
      <c r="C71" s="62">
        <v>3.2000000000000001E-2</v>
      </c>
      <c r="D71" s="2" t="s">
        <v>261</v>
      </c>
      <c r="E71" s="285" t="s">
        <v>436</v>
      </c>
      <c r="F71" s="286"/>
      <c r="G71" s="287"/>
      <c r="I71" s="71" t="s">
        <v>264</v>
      </c>
      <c r="J71" s="76">
        <v>0.01</v>
      </c>
      <c r="K71" s="76">
        <v>7.4999999999999997E-3</v>
      </c>
      <c r="L71" s="76">
        <v>5.0000000000000001E-3</v>
      </c>
      <c r="M71" s="283" t="s">
        <v>265</v>
      </c>
      <c r="N71" s="284"/>
    </row>
    <row r="72" spans="2:17" s="10" customFormat="1" ht="45" customHeight="1" x14ac:dyDescent="0.2">
      <c r="B72" s="70">
        <v>2032</v>
      </c>
      <c r="C72" s="62">
        <v>3.1600000000000003E-2</v>
      </c>
      <c r="D72" s="2" t="s">
        <v>261</v>
      </c>
      <c r="E72" s="285" t="s">
        <v>439</v>
      </c>
      <c r="F72" s="286"/>
      <c r="G72" s="287"/>
      <c r="I72" s="315" t="s">
        <v>533</v>
      </c>
      <c r="J72" s="315"/>
      <c r="K72" s="315"/>
      <c r="L72" s="315"/>
      <c r="M72" s="315"/>
      <c r="N72" s="315"/>
    </row>
    <row r="73" spans="2:17" s="10" customFormat="1" ht="30" customHeight="1" x14ac:dyDescent="0.2">
      <c r="B73" s="70">
        <v>2033</v>
      </c>
      <c r="C73" s="62">
        <v>3.1199999999999999E-2</v>
      </c>
      <c r="D73" s="2" t="s">
        <v>261</v>
      </c>
      <c r="E73" s="285" t="s">
        <v>439</v>
      </c>
      <c r="F73" s="286"/>
      <c r="G73" s="287"/>
      <c r="I73" s="280" t="s">
        <v>520</v>
      </c>
      <c r="J73" s="280"/>
      <c r="K73" s="280"/>
      <c r="L73" s="280"/>
      <c r="M73" s="280"/>
      <c r="N73" s="280"/>
      <c r="O73" s="280"/>
      <c r="P73" s="280"/>
      <c r="Q73" s="280"/>
    </row>
    <row r="74" spans="2:17" s="10" customFormat="1" ht="30" customHeight="1" x14ac:dyDescent="0.2">
      <c r="B74" s="70">
        <v>2034</v>
      </c>
      <c r="C74" s="62">
        <v>3.0800000000000001E-2</v>
      </c>
      <c r="D74" s="2" t="s">
        <v>261</v>
      </c>
      <c r="E74" s="285" t="s">
        <v>439</v>
      </c>
      <c r="F74" s="286"/>
      <c r="G74" s="287"/>
      <c r="I74" s="11" t="s">
        <v>18</v>
      </c>
      <c r="J74" s="11" t="s">
        <v>534</v>
      </c>
      <c r="K74" s="11" t="s">
        <v>521</v>
      </c>
      <c r="L74" s="11" t="s">
        <v>423</v>
      </c>
      <c r="M74" s="11" t="s">
        <v>425</v>
      </c>
      <c r="N74" s="11" t="s">
        <v>90</v>
      </c>
      <c r="O74" s="11" t="s">
        <v>88</v>
      </c>
      <c r="P74" s="11" t="s">
        <v>91</v>
      </c>
      <c r="Q74" s="11" t="s">
        <v>424</v>
      </c>
    </row>
    <row r="75" spans="2:17" s="10" customFormat="1" ht="39" customHeight="1" x14ac:dyDescent="0.2">
      <c r="B75" s="70">
        <v>2035</v>
      </c>
      <c r="C75" s="62">
        <v>3.04E-2</v>
      </c>
      <c r="D75" s="2" t="s">
        <v>261</v>
      </c>
      <c r="E75" s="285" t="s">
        <v>439</v>
      </c>
      <c r="F75" s="286"/>
      <c r="G75" s="287"/>
      <c r="I75" s="19">
        <v>2022</v>
      </c>
      <c r="J75" s="369">
        <v>1</v>
      </c>
      <c r="K75" s="370">
        <f t="shared" ref="K75:K101" si="6">INDEX($M$38:$M$64,MATCH(I75,$I$38:$I$64,0))</f>
        <v>0.18</v>
      </c>
      <c r="L75" s="371">
        <v>155</v>
      </c>
      <c r="M75" s="371">
        <v>28.528528528528529</v>
      </c>
      <c r="N75" s="372">
        <v>250</v>
      </c>
      <c r="O75" s="371">
        <v>250</v>
      </c>
      <c r="P75" s="371">
        <v>250</v>
      </c>
      <c r="Q75" s="363">
        <f>INDEX(N75:P75,1,MATCH($F$5,$N$74:$P$74,0))</f>
        <v>250</v>
      </c>
    </row>
    <row r="76" spans="2:17" s="10" customFormat="1" ht="15" x14ac:dyDescent="0.2">
      <c r="B76" s="70" t="s">
        <v>414</v>
      </c>
      <c r="C76" s="62">
        <v>0.03</v>
      </c>
      <c r="D76" s="2" t="s">
        <v>261</v>
      </c>
      <c r="E76" s="285" t="s">
        <v>396</v>
      </c>
      <c r="F76" s="286"/>
      <c r="G76" s="287"/>
      <c r="I76" s="19">
        <v>2023</v>
      </c>
      <c r="J76" s="369">
        <v>1</v>
      </c>
      <c r="K76" s="370">
        <f t="shared" si="6"/>
        <v>2.7320000000000002</v>
      </c>
      <c r="L76" s="371">
        <v>401.76</v>
      </c>
      <c r="M76" s="371">
        <v>73.945945945945951</v>
      </c>
      <c r="N76" s="372">
        <v>648</v>
      </c>
      <c r="O76" s="371">
        <v>648</v>
      </c>
      <c r="P76" s="371">
        <v>648</v>
      </c>
      <c r="Q76" s="363">
        <f>INDEX(N76:P76,1,MATCH($F$5,$N$74:$P$74,0))</f>
        <v>648</v>
      </c>
    </row>
    <row r="77" spans="2:17" s="10" customFormat="1" x14ac:dyDescent="0.2">
      <c r="I77" s="24">
        <v>2024</v>
      </c>
      <c r="J77" s="373">
        <v>1</v>
      </c>
      <c r="K77" s="365">
        <f t="shared" si="6"/>
        <v>3.33</v>
      </c>
      <c r="L77" s="374">
        <v>395.56</v>
      </c>
      <c r="M77" s="374">
        <v>72.804804804804803</v>
      </c>
      <c r="N77" s="375">
        <f t="shared" ref="N76:N101" si="7">L77 + M77 * K77</f>
        <v>638</v>
      </c>
      <c r="O77" s="374">
        <v>638</v>
      </c>
      <c r="P77" s="374">
        <v>638</v>
      </c>
      <c r="Q77" s="363">
        <f>INDEX(N77:P77,1,MATCH($F$5,$N$74:$P$74,0))</f>
        <v>638</v>
      </c>
    </row>
    <row r="78" spans="2:17" s="10" customFormat="1" ht="26" customHeight="1" x14ac:dyDescent="0.2">
      <c r="B78" s="280" t="s">
        <v>453</v>
      </c>
      <c r="C78" s="280"/>
      <c r="D78" s="280"/>
      <c r="E78" s="280"/>
      <c r="F78" s="280"/>
      <c r="G78" s="280"/>
      <c r="I78" s="24">
        <v>2025</v>
      </c>
      <c r="J78" s="310">
        <f>IF(I78&lt;2036,J77*(1+INDEX($C$62:$C$76,MATCH(I78,$B$62:$B$76,0))),IF(I78&gt;=2036,J77*(1+$C$76)))</f>
        <v>1.0413000000000001</v>
      </c>
      <c r="K78" s="365">
        <f t="shared" si="6"/>
        <v>3.48</v>
      </c>
      <c r="L78" s="365">
        <f>$K$68 * J78 * (1 + $K$71 * MAX(0, I78 - 2033))</f>
        <v>411.89662800000002</v>
      </c>
      <c r="M78" s="365">
        <f>$K$69 * J78 * (1 - $K$70) ^ MIN(5, MAX(0, I78 - 2025))</f>
        <v>75.806640000000002</v>
      </c>
      <c r="N78" s="375">
        <f t="shared" si="7"/>
        <v>675.70373519999998</v>
      </c>
      <c r="O78" s="365">
        <f>(($J$68 * J78 * (1 + $J$71 * MAX(0, I78-2033))) + ($J$69 * J78 * (1 - $J$70) ^ MIN(5, MAX(0, I78-2025)) * K78))</f>
        <v>743.31451116000017</v>
      </c>
      <c r="P78" s="365">
        <f>(($L$68 * J78 * (1 + $L$71 * MAX(0, I78-2033))) + ($L$69 * J78 * (1 - $L$70) ^ MIN(5, MAX(0, I78-2025)) * K78))</f>
        <v>641.91646584</v>
      </c>
      <c r="Q78" s="363">
        <f>INDEX(N78:P78,1,MATCH($F$5,$N$74:$P$74,0))</f>
        <v>675.70373519999998</v>
      </c>
    </row>
    <row r="79" spans="2:17" s="10" customFormat="1" ht="15" x14ac:dyDescent="0.2">
      <c r="B79" s="11" t="s">
        <v>266</v>
      </c>
      <c r="C79" s="11" t="s">
        <v>267</v>
      </c>
      <c r="D79" s="236" t="s">
        <v>269</v>
      </c>
      <c r="E79" s="236"/>
      <c r="F79" s="236" t="s">
        <v>268</v>
      </c>
      <c r="G79" s="236"/>
      <c r="I79" s="24">
        <v>2026</v>
      </c>
      <c r="J79" s="310">
        <f>IF(I79&lt;2036,J78*(1+INDEX($C$62:$C$76,MATCH(I79,$B$62:$B$76,0))),IF(I79&gt;=2036,J78*(1+$C$76)))</f>
        <v>1.0873254600000002</v>
      </c>
      <c r="K79" s="365">
        <f t="shared" si="6"/>
        <v>3.29</v>
      </c>
      <c r="L79" s="365">
        <f t="shared" ref="L79:L101" si="8">$K$68 * J79 * (1 + $K$71 * MAX(0, I79 - 2033))</f>
        <v>430.10245895760005</v>
      </c>
      <c r="M79" s="365">
        <f t="shared" ref="M79:M101" si="9">$K$69 * J79 * (1 - $K$70) ^ MIN(5, MAX(0, I79 - 2025))</f>
        <v>78.761507020560003</v>
      </c>
      <c r="N79" s="375">
        <f t="shared" si="7"/>
        <v>689.22781705524244</v>
      </c>
      <c r="O79" s="365">
        <f t="shared" ref="O79:O101" si="10">(($J$68 * J79 * (1 + $J$71 * MAX(0, I79-2033))) + ($J$69 * J79 * (1 - $J$70) ^ MIN(5, MAX(0, I79-2025)) * K79))</f>
        <v>758.90680725055438</v>
      </c>
      <c r="P79" s="365">
        <f t="shared" ref="P79:P101" si="11">(($L$68 * J79 * (1 + $L$71 * MAX(0, I79-2033))) + ($L$69 * J79 * (1 - $L$70) ^ MIN(5, MAX(0, I79-2025)) * K79))</f>
        <v>653.52722094757667</v>
      </c>
      <c r="Q79" s="363">
        <f>INDEX(N79:P79,1,MATCH($F$5,$N$74:$P$74,0))</f>
        <v>689.22781705524244</v>
      </c>
    </row>
    <row r="80" spans="2:17" s="10" customFormat="1" ht="15" x14ac:dyDescent="0.2">
      <c r="B80" s="71" t="s">
        <v>270</v>
      </c>
      <c r="C80" s="71" t="s">
        <v>271</v>
      </c>
      <c r="D80" s="291" t="s">
        <v>273</v>
      </c>
      <c r="E80" s="291"/>
      <c r="F80" s="289" t="s">
        <v>272</v>
      </c>
      <c r="G80" s="289"/>
      <c r="I80" s="24">
        <v>2027</v>
      </c>
      <c r="J80" s="310">
        <f>IF(I80&lt;2036,J79*(1+INDEX($C$62:$C$76,MATCH(I80,$B$62:$B$76,0))),IF(I80&gt;=2036,J79*(1+$C$76)))</f>
        <v>1.1271215718360001</v>
      </c>
      <c r="K80" s="365">
        <f t="shared" si="6"/>
        <v>3.37</v>
      </c>
      <c r="L80" s="365">
        <f t="shared" si="8"/>
        <v>445.84420895544821</v>
      </c>
      <c r="M80" s="365">
        <f t="shared" si="9"/>
        <v>81.235957286624938</v>
      </c>
      <c r="N80" s="375">
        <f t="shared" si="7"/>
        <v>719.60938501137434</v>
      </c>
      <c r="O80" s="365">
        <f t="shared" si="10"/>
        <v>793.12780225475376</v>
      </c>
      <c r="P80" s="365">
        <f t="shared" si="11"/>
        <v>681.01939058638504</v>
      </c>
      <c r="Q80" s="363">
        <f>INDEX(N80:P80,1,MATCH($F$5,$N$74:$P$74,0))</f>
        <v>719.60938501137434</v>
      </c>
    </row>
    <row r="81" spans="2:17" s="10" customFormat="1" ht="45" x14ac:dyDescent="0.2">
      <c r="B81" s="71" t="s">
        <v>274</v>
      </c>
      <c r="C81" s="71" t="s">
        <v>275</v>
      </c>
      <c r="D81" s="291" t="s">
        <v>277</v>
      </c>
      <c r="E81" s="291"/>
      <c r="F81" s="289" t="s">
        <v>276</v>
      </c>
      <c r="G81" s="289"/>
      <c r="I81" s="24">
        <v>2028</v>
      </c>
      <c r="J81" s="310">
        <f>IF(I81&lt;2036,J80*(1+INDEX($C$62:$C$76,MATCH(I81,$B$62:$B$76,0))),IF(I81&gt;=2036,J80*(1+$C$76)))</f>
        <v>1.1649928566496899</v>
      </c>
      <c r="K81" s="365">
        <f t="shared" si="6"/>
        <v>3.37</v>
      </c>
      <c r="L81" s="365">
        <f t="shared" si="8"/>
        <v>460.82457437635134</v>
      </c>
      <c r="M81" s="365">
        <f t="shared" si="9"/>
        <v>83.545658024198261</v>
      </c>
      <c r="N81" s="375">
        <f t="shared" si="7"/>
        <v>742.37344191789953</v>
      </c>
      <c r="O81" s="365">
        <f t="shared" si="10"/>
        <v>818.99473339895076</v>
      </c>
      <c r="P81" s="365">
        <f t="shared" si="11"/>
        <v>701.24043584570495</v>
      </c>
      <c r="Q81" s="363">
        <f>INDEX(N81:P81,1,MATCH($F$5,$N$74:$P$74,0))</f>
        <v>742.37344191789953</v>
      </c>
    </row>
    <row r="82" spans="2:17" s="10" customFormat="1" ht="15" x14ac:dyDescent="0.2">
      <c r="B82" s="71" t="s">
        <v>278</v>
      </c>
      <c r="C82" s="71" t="s">
        <v>279</v>
      </c>
      <c r="D82" s="291" t="s">
        <v>281</v>
      </c>
      <c r="E82" s="291"/>
      <c r="F82" s="289" t="s">
        <v>280</v>
      </c>
      <c r="G82" s="289"/>
      <c r="I82" s="24">
        <v>2029</v>
      </c>
      <c r="J82" s="310">
        <f>IF(I82&lt;2036,J81*(1+INDEX($C$62:$C$76,MATCH(I82,$B$62:$B$76,0))),IF(I82&gt;=2036,J81*(1+$C$76)))</f>
        <v>1.2025056266338099</v>
      </c>
      <c r="K82" s="365">
        <f t="shared" si="6"/>
        <v>3.37</v>
      </c>
      <c r="L82" s="365">
        <f t="shared" si="8"/>
        <v>475.66312567126982</v>
      </c>
      <c r="M82" s="365">
        <f t="shared" si="9"/>
        <v>85.804649071514575</v>
      </c>
      <c r="N82" s="375">
        <f t="shared" si="7"/>
        <v>764.824793042274</v>
      </c>
      <c r="O82" s="365">
        <f t="shared" si="10"/>
        <v>844.56103352551327</v>
      </c>
      <c r="P82" s="365">
        <f t="shared" si="11"/>
        <v>721.10094974490187</v>
      </c>
      <c r="Q82" s="363">
        <f>INDEX(N82:P82,1,MATCH($F$5,$N$74:$P$74,0))</f>
        <v>764.824793042274</v>
      </c>
    </row>
    <row r="83" spans="2:17" s="10" customFormat="1" ht="30" x14ac:dyDescent="0.2">
      <c r="B83" s="71" t="s">
        <v>282</v>
      </c>
      <c r="C83" s="71" t="s">
        <v>283</v>
      </c>
      <c r="D83" s="291" t="s">
        <v>285</v>
      </c>
      <c r="E83" s="291"/>
      <c r="F83" s="289" t="s">
        <v>284</v>
      </c>
      <c r="G83" s="289"/>
      <c r="I83" s="24">
        <v>2030</v>
      </c>
      <c r="J83" s="310">
        <f>IF(I83&lt;2036,J82*(1+INDEX($C$62:$C$76,MATCH(I83,$B$62:$B$76,0))),IF(I83&gt;=2036,J82*(1+$C$76)))</f>
        <v>1.2409858066860919</v>
      </c>
      <c r="K83" s="365">
        <f t="shared" si="6"/>
        <v>3.37</v>
      </c>
      <c r="L83" s="365">
        <f t="shared" si="8"/>
        <v>490.88434569275051</v>
      </c>
      <c r="M83" s="365">
        <f t="shared" si="9"/>
        <v>88.107645852594032</v>
      </c>
      <c r="N83" s="375">
        <f t="shared" si="7"/>
        <v>787.80711221599245</v>
      </c>
      <c r="O83" s="365">
        <f t="shared" si="10"/>
        <v>870.75796349234702</v>
      </c>
      <c r="P83" s="365">
        <f t="shared" si="11"/>
        <v>741.3977947997364</v>
      </c>
      <c r="Q83" s="363">
        <f>INDEX(N83:P83,1,MATCH($F$5,$N$74:$P$74,0))</f>
        <v>787.80711221599245</v>
      </c>
    </row>
    <row r="84" spans="2:17" s="10" customFormat="1" ht="15" x14ac:dyDescent="0.2">
      <c r="B84" s="71" t="s">
        <v>286</v>
      </c>
      <c r="C84" s="71" t="s">
        <v>287</v>
      </c>
      <c r="D84" s="291" t="s">
        <v>289</v>
      </c>
      <c r="E84" s="291"/>
      <c r="F84" s="289" t="s">
        <v>288</v>
      </c>
      <c r="G84" s="289"/>
      <c r="I84" s="24">
        <v>2031</v>
      </c>
      <c r="J84" s="310">
        <f>IF(I84&lt;2036,J83*(1+INDEX($C$62:$C$76,MATCH(I84,$B$62:$B$76,0))),IF(I84&gt;=2036,J83*(1+$C$76)))</f>
        <v>1.2806973525000469</v>
      </c>
      <c r="K84" s="365">
        <f t="shared" si="6"/>
        <v>3.37</v>
      </c>
      <c r="L84" s="365">
        <f t="shared" si="8"/>
        <v>506.59264475491858</v>
      </c>
      <c r="M84" s="365">
        <f t="shared" si="9"/>
        <v>90.927090519877055</v>
      </c>
      <c r="N84" s="375">
        <f t="shared" si="7"/>
        <v>813.01693980690425</v>
      </c>
      <c r="O84" s="365">
        <f t="shared" si="10"/>
        <v>898.62221832410216</v>
      </c>
      <c r="P84" s="365">
        <f t="shared" si="11"/>
        <v>765.12252423332802</v>
      </c>
      <c r="Q84" s="363">
        <f>INDEX(N84:P84,1,MATCH($F$5,$N$74:$P$74,0))</f>
        <v>813.01693980690425</v>
      </c>
    </row>
    <row r="85" spans="2:17" s="10" customFormat="1" ht="30" x14ac:dyDescent="0.2">
      <c r="B85" s="71" t="s">
        <v>290</v>
      </c>
      <c r="C85" s="71" t="s">
        <v>291</v>
      </c>
      <c r="D85" s="291" t="s">
        <v>567</v>
      </c>
      <c r="E85" s="291"/>
      <c r="F85" s="289" t="s">
        <v>292</v>
      </c>
      <c r="G85" s="289"/>
      <c r="I85" s="24">
        <v>2032</v>
      </c>
      <c r="J85" s="310">
        <f>IF(I85&lt;2036,J84*(1+INDEX($C$62:$C$76,MATCH(I85,$B$62:$B$76,0))),IF(I85&gt;=2036,J84*(1+$C$76)))</f>
        <v>1.3211673888390485</v>
      </c>
      <c r="K85" s="365">
        <f t="shared" si="6"/>
        <v>3.37</v>
      </c>
      <c r="L85" s="365">
        <f t="shared" si="8"/>
        <v>522.60097232917406</v>
      </c>
      <c r="M85" s="365">
        <f t="shared" si="9"/>
        <v>93.800386580305158</v>
      </c>
      <c r="N85" s="375">
        <f t="shared" si="7"/>
        <v>838.7082751048024</v>
      </c>
      <c r="O85" s="365">
        <f t="shared" si="10"/>
        <v>927.01868042314402</v>
      </c>
      <c r="P85" s="365">
        <f t="shared" si="11"/>
        <v>789.30039599910128</v>
      </c>
      <c r="Q85" s="363">
        <f>INDEX(N85:P85,1,MATCH($F$5,$N$74:$P$74,0))</f>
        <v>838.7082751048024</v>
      </c>
    </row>
    <row r="86" spans="2:17" s="10" customFormat="1" ht="15" x14ac:dyDescent="0.2">
      <c r="B86" s="71" t="s">
        <v>293</v>
      </c>
      <c r="C86" s="71" t="s">
        <v>294</v>
      </c>
      <c r="D86" s="291" t="s">
        <v>296</v>
      </c>
      <c r="E86" s="291"/>
      <c r="F86" s="289" t="s">
        <v>295</v>
      </c>
      <c r="G86" s="289"/>
      <c r="I86" s="24">
        <v>2033</v>
      </c>
      <c r="J86" s="310">
        <f>IF(I86&lt;2036,J85*(1+INDEX($C$62:$C$76,MATCH(I86,$B$62:$B$76,0))),IF(I86&gt;=2036,J85*(1+$C$76)))</f>
        <v>1.3623878113708268</v>
      </c>
      <c r="K86" s="365">
        <f t="shared" si="6"/>
        <v>3.37</v>
      </c>
      <c r="L86" s="365">
        <f t="shared" si="8"/>
        <v>538.90612266584424</v>
      </c>
      <c r="M86" s="365">
        <f t="shared" si="9"/>
        <v>96.726958641610693</v>
      </c>
      <c r="N86" s="375">
        <f t="shared" si="7"/>
        <v>864.87597328807226</v>
      </c>
      <c r="O86" s="365">
        <f t="shared" si="10"/>
        <v>955.94166325234596</v>
      </c>
      <c r="P86" s="365">
        <f t="shared" si="11"/>
        <v>813.92656835427306</v>
      </c>
      <c r="Q86" s="363">
        <f>INDEX(N86:P86,1,MATCH($F$5,$N$74:$P$74,0))</f>
        <v>864.87597328807226</v>
      </c>
    </row>
    <row r="87" spans="2:17" s="10" customFormat="1" ht="60" customHeight="1" x14ac:dyDescent="0.2">
      <c r="B87" s="71" t="s">
        <v>297</v>
      </c>
      <c r="C87" s="71" t="s">
        <v>298</v>
      </c>
      <c r="D87" s="283" t="s">
        <v>300</v>
      </c>
      <c r="E87" s="284"/>
      <c r="F87" s="357" t="s">
        <v>299</v>
      </c>
      <c r="G87" s="358"/>
      <c r="I87" s="29">
        <v>2034</v>
      </c>
      <c r="J87" s="376">
        <f>IF(I87&lt;2036,J86*(1+INDEX($C$62:$C$76,MATCH(I87,$B$62:$B$76,0))),IF(I87&gt;=2036,J86*(1+$C$76)))</f>
        <v>1.404349355961048</v>
      </c>
      <c r="K87" s="367">
        <f t="shared" si="6"/>
        <v>3.1341000000000001</v>
      </c>
      <c r="L87" s="367">
        <f t="shared" si="8"/>
        <v>559.67071447828175</v>
      </c>
      <c r="M87" s="367">
        <f t="shared" si="9"/>
        <v>99.706148967772279</v>
      </c>
      <c r="N87" s="377">
        <f t="shared" si="7"/>
        <v>872.1597559581769</v>
      </c>
      <c r="O87" s="367">
        <f t="shared" si="10"/>
        <v>965.29257916814345</v>
      </c>
      <c r="P87" s="367">
        <f t="shared" si="11"/>
        <v>819.84530126714185</v>
      </c>
      <c r="Q87" s="363">
        <f>INDEX(N87:P87,1,MATCH($F$5,$N$74:$P$74,0))</f>
        <v>872.1597559581769</v>
      </c>
    </row>
    <row r="88" spans="2:17" s="10" customFormat="1" x14ac:dyDescent="0.2">
      <c r="I88" s="29">
        <v>2035</v>
      </c>
      <c r="J88" s="376">
        <f>IF(I88&lt;2036,J87*(1+INDEX($C$62:$C$76,MATCH(I88,$B$62:$B$76,0))),IF(I88&gt;=2036,J87*(1+$C$76)))</f>
        <v>1.4470415763822639</v>
      </c>
      <c r="K88" s="367">
        <f t="shared" si="6"/>
        <v>2.9147129999999999</v>
      </c>
      <c r="L88" s="367">
        <f t="shared" si="8"/>
        <v>580.97764244307473</v>
      </c>
      <c r="M88" s="367">
        <f t="shared" si="9"/>
        <v>102.73721589639257</v>
      </c>
      <c r="N88" s="377">
        <f t="shared" si="7"/>
        <v>880.4271412000968</v>
      </c>
      <c r="O88" s="367">
        <f t="shared" si="10"/>
        <v>975.82453459335215</v>
      </c>
      <c r="P88" s="367">
        <f t="shared" si="11"/>
        <v>826.6078120530866</v>
      </c>
      <c r="Q88" s="363">
        <f>INDEX(N88:P88,1,MATCH($F$5,$N$74:$P$74,0))</f>
        <v>880.4271412000968</v>
      </c>
    </row>
    <row r="89" spans="2:17" s="10" customFormat="1" x14ac:dyDescent="0.2">
      <c r="I89" s="29">
        <v>2036</v>
      </c>
      <c r="J89" s="376">
        <f>IF(I89&lt;2036,J88*(1+INDEX($C$62:$C$76,MATCH(I89,$B$62:$B$76,0))),IF(I89&gt;=2036,J88*(1+$C$76)))</f>
        <v>1.490452823673732</v>
      </c>
      <c r="K89" s="367">
        <f t="shared" si="6"/>
        <v>2.7106830899999999</v>
      </c>
      <c r="L89" s="367">
        <f t="shared" si="8"/>
        <v>602.82869810835996</v>
      </c>
      <c r="M89" s="367">
        <f t="shared" si="9"/>
        <v>105.81933237328435</v>
      </c>
      <c r="N89" s="377">
        <f t="shared" si="7"/>
        <v>889.67137296771148</v>
      </c>
      <c r="O89" s="367">
        <f t="shared" si="10"/>
        <v>987.53232446361699</v>
      </c>
      <c r="P89" s="367">
        <f t="shared" si="11"/>
        <v>834.20585797511649</v>
      </c>
      <c r="Q89" s="363">
        <f>INDEX(N89:P89,1,MATCH($F$5,$N$74:$P$74,0))</f>
        <v>889.67137296771148</v>
      </c>
    </row>
    <row r="90" spans="2:17" s="10" customFormat="1" x14ac:dyDescent="0.2">
      <c r="I90" s="29">
        <v>2037</v>
      </c>
      <c r="J90" s="376">
        <f>IF(I90&lt;2036,J89*(1+INDEX($C$62:$C$76,MATCH(I90,$B$62:$B$76,0))),IF(I90&gt;=2036,J89*(1+$C$76)))</f>
        <v>1.535166408383944</v>
      </c>
      <c r="K90" s="367">
        <f t="shared" si="6"/>
        <v>2.5209352736999993</v>
      </c>
      <c r="L90" s="367">
        <f t="shared" si="8"/>
        <v>625.46793723536348</v>
      </c>
      <c r="M90" s="367">
        <f t="shared" si="9"/>
        <v>108.99391234448288</v>
      </c>
      <c r="N90" s="377">
        <f t="shared" si="7"/>
        <v>900.23453548313614</v>
      </c>
      <c r="O90" s="367">
        <f t="shared" si="10"/>
        <v>1000.798503588974</v>
      </c>
      <c r="P90" s="367">
        <f t="shared" si="11"/>
        <v>842.95788289964253</v>
      </c>
      <c r="Q90" s="363">
        <f>INDEX(N90:P90,1,MATCH($F$5,$N$74:$P$74,0))</f>
        <v>900.23453548313614</v>
      </c>
    </row>
    <row r="91" spans="2:17" s="10" customFormat="1" x14ac:dyDescent="0.2">
      <c r="I91" s="29">
        <v>2038</v>
      </c>
      <c r="J91" s="376">
        <f>IF(I91&lt;2036,J90*(1+INDEX($C$62:$C$76,MATCH(I91,$B$62:$B$76,0))),IF(I91&gt;=2036,J90*(1+$C$76)))</f>
        <v>1.5812214006354623</v>
      </c>
      <c r="K91" s="367">
        <f t="shared" si="6"/>
        <v>2.3444698045409993</v>
      </c>
      <c r="L91" s="367">
        <f t="shared" si="8"/>
        <v>648.92298488168967</v>
      </c>
      <c r="M91" s="367">
        <f t="shared" si="9"/>
        <v>112.26372971481736</v>
      </c>
      <c r="N91" s="377">
        <f t="shared" si="7"/>
        <v>912.1219093432311</v>
      </c>
      <c r="O91" s="367">
        <f t="shared" si="10"/>
        <v>1015.633030011803</v>
      </c>
      <c r="P91" s="367">
        <f t="shared" si="11"/>
        <v>852.86557730348022</v>
      </c>
      <c r="Q91" s="363">
        <f>INDEX(N91:P91,1,MATCH($F$5,$N$74:$P$74,0))</f>
        <v>912.1219093432311</v>
      </c>
    </row>
    <row r="92" spans="2:17" s="10" customFormat="1" x14ac:dyDescent="0.2">
      <c r="I92" s="29">
        <v>2039</v>
      </c>
      <c r="J92" s="376">
        <f>IF(I92&lt;2036,J91*(1+INDEX($C$62:$C$76,MATCH(I92,$B$62:$B$76,0))),IF(I92&gt;=2036,J91*(1+$C$76)))</f>
        <v>1.6286580426545263</v>
      </c>
      <c r="K92" s="367">
        <f t="shared" si="6"/>
        <v>2.1803569182231293</v>
      </c>
      <c r="L92" s="367">
        <f t="shared" si="8"/>
        <v>673.22241424328354</v>
      </c>
      <c r="M92" s="367">
        <f t="shared" si="9"/>
        <v>115.63164160626189</v>
      </c>
      <c r="N92" s="377">
        <f t="shared" si="7"/>
        <v>925.34066398499408</v>
      </c>
      <c r="O92" s="367">
        <f t="shared" si="10"/>
        <v>1032.0481303562128</v>
      </c>
      <c r="P92" s="367">
        <f t="shared" si="11"/>
        <v>863.9322504028778</v>
      </c>
      <c r="Q92" s="363">
        <f>INDEX(N92:P92,1,MATCH($F$5,$N$74:$P$74,0))</f>
        <v>925.34066398499408</v>
      </c>
    </row>
    <row r="93" spans="2:17" s="10" customFormat="1" x14ac:dyDescent="0.2">
      <c r="I93" s="29">
        <v>2040</v>
      </c>
      <c r="J93" s="376">
        <f>IF(I93&lt;2036,J92*(1+INDEX($C$62:$C$76,MATCH(I93,$B$62:$B$76,0))),IF(I93&gt;=2036,J92*(1+$C$76)))</f>
        <v>1.6775177839341622</v>
      </c>
      <c r="K93" s="367">
        <f t="shared" si="6"/>
        <v>2.0277319339475102</v>
      </c>
      <c r="L93" s="367">
        <f t="shared" si="8"/>
        <v>698.39577868017955</v>
      </c>
      <c r="M93" s="367">
        <f t="shared" si="9"/>
        <v>119.10059085444976</v>
      </c>
      <c r="N93" s="377">
        <f t="shared" si="7"/>
        <v>939.89985010776411</v>
      </c>
      <c r="O93" s="367">
        <f t="shared" si="10"/>
        <v>1050.0582975800617</v>
      </c>
      <c r="P93" s="367">
        <f t="shared" si="11"/>
        <v>876.16281815340335</v>
      </c>
      <c r="Q93" s="363">
        <f>INDEX(N93:P93,1,MATCH($F$5,$N$74:$P$74,0))</f>
        <v>939.89985010776411</v>
      </c>
    </row>
    <row r="94" spans="2:17" s="10" customFormat="1" x14ac:dyDescent="0.2">
      <c r="I94" s="29">
        <v>2041</v>
      </c>
      <c r="J94" s="376">
        <f>IF(I94&lt;2036,J93*(1+INDEX($C$62:$C$76,MATCH(I94,$B$62:$B$76,0))),IF(I94&gt;=2036,J93*(1+$C$76)))</f>
        <v>1.727843317452187</v>
      </c>
      <c r="K94" s="367">
        <f t="shared" si="6"/>
        <v>1.8857906985711841</v>
      </c>
      <c r="L94" s="367">
        <f t="shared" si="8"/>
        <v>724.47364481047043</v>
      </c>
      <c r="M94" s="367">
        <f t="shared" si="9"/>
        <v>122.67360858008325</v>
      </c>
      <c r="N94" s="377">
        <f t="shared" si="7"/>
        <v>955.81039483095367</v>
      </c>
      <c r="O94" s="367">
        <f t="shared" si="10"/>
        <v>1069.6802919981446</v>
      </c>
      <c r="P94" s="367">
        <f t="shared" si="11"/>
        <v>889.56379360304766</v>
      </c>
      <c r="Q94" s="363">
        <f>INDEX(N94:P94,1,MATCH($F$5,$N$74:$P$74,0))</f>
        <v>955.81039483095367</v>
      </c>
    </row>
    <row r="95" spans="2:17" s="10" customFormat="1" x14ac:dyDescent="0.2">
      <c r="I95" s="29">
        <v>2042</v>
      </c>
      <c r="J95" s="376">
        <f>IF(I95&lt;2036,J94*(1+INDEX($C$62:$C$76,MATCH(I95,$B$62:$B$76,0))),IF(I95&gt;=2036,J94*(1+$C$76)))</f>
        <v>1.7796786169757526</v>
      </c>
      <c r="K95" s="367">
        <f t="shared" si="6"/>
        <v>1.753785349671201</v>
      </c>
      <c r="L95" s="367">
        <f t="shared" si="8"/>
        <v>751.48762670776625</v>
      </c>
      <c r="M95" s="367">
        <f t="shared" si="9"/>
        <v>126.35381683748575</v>
      </c>
      <c r="N95" s="377">
        <f t="shared" si="7"/>
        <v>973.08509955238708</v>
      </c>
      <c r="O95" s="367">
        <f t="shared" si="10"/>
        <v>1090.9331455454853</v>
      </c>
      <c r="P95" s="367">
        <f t="shared" si="11"/>
        <v>904.14327955981958</v>
      </c>
      <c r="Q95" s="363">
        <f>INDEX(N95:P95,1,MATCH($F$5,$N$74:$P$74,0))</f>
        <v>973.08509955238708</v>
      </c>
    </row>
    <row r="96" spans="2:17" s="10" customFormat="1" x14ac:dyDescent="0.2">
      <c r="I96" s="29">
        <v>2043</v>
      </c>
      <c r="J96" s="376">
        <f>IF(I96&lt;2036,J95*(1+INDEX($C$62:$C$76,MATCH(I96,$B$62:$B$76,0))),IF(I96&gt;=2036,J95*(1+$C$76)))</f>
        <v>1.8330689754850251</v>
      </c>
      <c r="K96" s="367">
        <f t="shared" si="6"/>
        <v>1.6310203751942169</v>
      </c>
      <c r="L96" s="367">
        <f t="shared" si="8"/>
        <v>779.47042123857079</v>
      </c>
      <c r="M96" s="367">
        <f t="shared" si="9"/>
        <v>130.14443134261032</v>
      </c>
      <c r="N96" s="377">
        <f t="shared" si="7"/>
        <v>991.73864047643315</v>
      </c>
      <c r="O96" s="367">
        <f t="shared" si="10"/>
        <v>1113.8381692545261</v>
      </c>
      <c r="P96" s="367">
        <f t="shared" si="11"/>
        <v>919.91096353869762</v>
      </c>
      <c r="Q96" s="363">
        <f>INDEX(N96:P96,1,MATCH($F$5,$N$74:$P$74,0))</f>
        <v>991.73864047643315</v>
      </c>
    </row>
    <row r="97" spans="9:18" s="10" customFormat="1" x14ac:dyDescent="0.2">
      <c r="I97" s="29">
        <v>2044</v>
      </c>
      <c r="J97" s="376">
        <f>IF(I97&lt;2036,J96*(1+INDEX($C$62:$C$76,MATCH(I97,$B$62:$B$76,0))),IF(I97&gt;=2036,J96*(1+$C$76)))</f>
        <v>1.8880610447495758</v>
      </c>
      <c r="K97" s="367">
        <f t="shared" si="6"/>
        <v>1.5168489489306216</v>
      </c>
      <c r="L97" s="367">
        <f t="shared" si="8"/>
        <v>808.45584457718644</v>
      </c>
      <c r="M97" s="367">
        <f t="shared" si="9"/>
        <v>134.04876428288861</v>
      </c>
      <c r="N97" s="377">
        <f t="shared" si="7"/>
        <v>1011.7875717851347</v>
      </c>
      <c r="O97" s="367">
        <f t="shared" si="10"/>
        <v>1138.4189639247654</v>
      </c>
      <c r="P97" s="367">
        <f t="shared" si="11"/>
        <v>936.87811495630399</v>
      </c>
      <c r="Q97" s="363">
        <f>INDEX(N97:P97,1,MATCH($F$5,$N$74:$P$74,0))</f>
        <v>1011.7875717851347</v>
      </c>
    </row>
    <row r="98" spans="9:18" s="10" customFormat="1" x14ac:dyDescent="0.2">
      <c r="I98" s="29">
        <v>2045</v>
      </c>
      <c r="J98" s="376">
        <f>IF(I98&lt;2036,J97*(1+INDEX($C$62:$C$76,MATCH(I98,$B$62:$B$76,0))),IF(I98&gt;=2036,J97*(1+$C$76)))</f>
        <v>1.944702876092063</v>
      </c>
      <c r="K98" s="367">
        <f t="shared" si="6"/>
        <v>1.4106695225054779</v>
      </c>
      <c r="L98" s="367">
        <f t="shared" si="8"/>
        <v>838.47886993700445</v>
      </c>
      <c r="M98" s="367">
        <f t="shared" si="9"/>
        <v>138.07022721137525</v>
      </c>
      <c r="N98" s="377">
        <f t="shared" si="7"/>
        <v>1033.2503314294981</v>
      </c>
      <c r="O98" s="367">
        <f t="shared" si="10"/>
        <v>1164.7014339680748</v>
      </c>
      <c r="P98" s="367">
        <f t="shared" si="11"/>
        <v>955.05758454507918</v>
      </c>
      <c r="Q98" s="363">
        <f>INDEX(N98:P98,1,MATCH($F$5,$N$74:$P$74,0))</f>
        <v>1033.2503314294981</v>
      </c>
    </row>
    <row r="99" spans="9:18" s="10" customFormat="1" x14ac:dyDescent="0.2">
      <c r="I99" s="29">
        <v>2046</v>
      </c>
      <c r="J99" s="376">
        <f>IF(I99&lt;2036,J98*(1+INDEX($C$62:$C$76,MATCH(I99,$B$62:$B$76,0))),IF(I99&gt;=2036,J98*(1+$C$76)))</f>
        <v>2.0030439623748251</v>
      </c>
      <c r="K99" s="367">
        <f t="shared" si="6"/>
        <v>1.3119226559300945</v>
      </c>
      <c r="L99" s="367">
        <f t="shared" si="8"/>
        <v>869.57566655829191</v>
      </c>
      <c r="M99" s="367">
        <f t="shared" si="9"/>
        <v>142.21233402771654</v>
      </c>
      <c r="N99" s="377">
        <f t="shared" si="7"/>
        <v>1056.1472495219516</v>
      </c>
      <c r="O99" s="367">
        <f t="shared" si="10"/>
        <v>1192.7138044175333</v>
      </c>
      <c r="P99" s="367">
        <f t="shared" si="11"/>
        <v>974.46380596208314</v>
      </c>
      <c r="Q99" s="363">
        <f>INDEX(N99:P99,1,MATCH($F$5,$N$74:$P$74,0))</f>
        <v>1056.1472495219516</v>
      </c>
    </row>
    <row r="100" spans="9:18" s="10" customFormat="1" x14ac:dyDescent="0.2">
      <c r="I100" s="29">
        <v>2047</v>
      </c>
      <c r="J100" s="376">
        <f>IF(I100&lt;2036,J99*(1+INDEX($C$62:$C$76,MATCH(I100,$B$62:$B$76,0))),IF(I100&gt;=2036,J99*(1+$C$76)))</f>
        <v>2.0631352812460699</v>
      </c>
      <c r="K100" s="367">
        <f t="shared" si="6"/>
        <v>1.2200880700149879</v>
      </c>
      <c r="L100" s="367">
        <f t="shared" si="8"/>
        <v>901.78363999391343</v>
      </c>
      <c r="M100" s="367">
        <f t="shared" si="9"/>
        <v>146.47870404854805</v>
      </c>
      <c r="N100" s="377">
        <f t="shared" si="7"/>
        <v>1080.500559314803</v>
      </c>
      <c r="O100" s="367">
        <f t="shared" si="10"/>
        <v>1222.4866410921582</v>
      </c>
      <c r="P100" s="367">
        <f t="shared" si="11"/>
        <v>995.11279957081751</v>
      </c>
      <c r="Q100" s="363">
        <f>INDEX(N100:P100,1,MATCH($F$5,$N$74:$P$74,0))</f>
        <v>1080.500559314803</v>
      </c>
    </row>
    <row r="101" spans="9:18" s="10" customFormat="1" x14ac:dyDescent="0.2">
      <c r="I101" s="29">
        <v>2048</v>
      </c>
      <c r="J101" s="376">
        <f>IF(I101&lt;2036,J100*(1+INDEX($C$62:$C$76,MATCH(I101,$B$62:$B$76,0))),IF(I101&gt;=2036,J100*(1+$C$76)))</f>
        <v>2.1250293396834521</v>
      </c>
      <c r="K101" s="367">
        <f t="shared" si="6"/>
        <v>1.1346819051139385</v>
      </c>
      <c r="L101" s="367">
        <f t="shared" si="8"/>
        <v>935.14147373576975</v>
      </c>
      <c r="M101" s="367">
        <f t="shared" si="9"/>
        <v>150.87306517000448</v>
      </c>
      <c r="N101" s="377">
        <f t="shared" si="7"/>
        <v>1106.3344107532498</v>
      </c>
      <c r="O101" s="367">
        <f t="shared" si="10"/>
        <v>1254.0528739143972</v>
      </c>
      <c r="P101" s="367">
        <f t="shared" si="11"/>
        <v>1017.0221783776593</v>
      </c>
      <c r="Q101" s="363">
        <f>INDEX(N101:P101,1,MATCH($F$5,$N$74:$P$74,0))</f>
        <v>1106.3344107532498</v>
      </c>
    </row>
    <row r="102" spans="9:18" s="10" customFormat="1" x14ac:dyDescent="0.2">
      <c r="L102" s="316">
        <f>SUM(L75:L101)</f>
        <v>16233.988439032568</v>
      </c>
      <c r="M102" s="317"/>
      <c r="N102" s="316">
        <f>SUM(N75:N101)</f>
        <v>22960.656959352087</v>
      </c>
      <c r="O102" s="316">
        <f t="shared" ref="O102:Q102" si="12">SUM(O75:O101)</f>
        <v>25421.258136958957</v>
      </c>
      <c r="P102" s="316">
        <f t="shared" si="12"/>
        <v>21553.281766519271</v>
      </c>
      <c r="Q102" s="316">
        <f t="shared" si="12"/>
        <v>22960.656959352087</v>
      </c>
      <c r="R102" s="317"/>
    </row>
    <row r="103" spans="9:18" s="10" customFormat="1" x14ac:dyDescent="0.2"/>
    <row r="104" spans="9:18" s="10" customFormat="1" x14ac:dyDescent="0.2"/>
    <row r="105" spans="9:18" s="10" customFormat="1" x14ac:dyDescent="0.2"/>
    <row r="106" spans="9:18" s="10" customFormat="1" x14ac:dyDescent="0.2"/>
    <row r="107" spans="9:18" s="10" customFormat="1" x14ac:dyDescent="0.2"/>
    <row r="108" spans="9:18" s="10" customFormat="1" x14ac:dyDescent="0.2"/>
    <row r="109" spans="9:18" s="10" customFormat="1" x14ac:dyDescent="0.2"/>
    <row r="110" spans="9:18" s="10" customFormat="1" x14ac:dyDescent="0.2"/>
    <row r="111" spans="9:18" s="10" customFormat="1" x14ac:dyDescent="0.2"/>
    <row r="112" spans="9:18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  <row r="176" s="10" customFormat="1" x14ac:dyDescent="0.2"/>
    <row r="177" s="10" customFormat="1" x14ac:dyDescent="0.2"/>
    <row r="178" s="10" customFormat="1" x14ac:dyDescent="0.2"/>
    <row r="179" s="10" customFormat="1" x14ac:dyDescent="0.2"/>
    <row r="180" s="10" customFormat="1" x14ac:dyDescent="0.2"/>
    <row r="181" s="10" customFormat="1" x14ac:dyDescent="0.2"/>
    <row r="182" s="10" customFormat="1" x14ac:dyDescent="0.2"/>
    <row r="183" s="10" customFormat="1" x14ac:dyDescent="0.2"/>
    <row r="184" s="10" customFormat="1" x14ac:dyDescent="0.2"/>
    <row r="185" s="10" customFormat="1" x14ac:dyDescent="0.2"/>
    <row r="186" s="10" customFormat="1" x14ac:dyDescent="0.2"/>
    <row r="187" s="10" customFormat="1" x14ac:dyDescent="0.2"/>
    <row r="188" s="10" customFormat="1" x14ac:dyDescent="0.2"/>
    <row r="189" s="10" customFormat="1" x14ac:dyDescent="0.2"/>
    <row r="190" s="10" customFormat="1" x14ac:dyDescent="0.2"/>
    <row r="191" s="10" customFormat="1" x14ac:dyDescent="0.2"/>
    <row r="192" s="10" customFormat="1" x14ac:dyDescent="0.2"/>
    <row r="193" s="10" customFormat="1" x14ac:dyDescent="0.2"/>
    <row r="194" s="10" customFormat="1" x14ac:dyDescent="0.2"/>
    <row r="195" s="10" customFormat="1" x14ac:dyDescent="0.2"/>
    <row r="196" s="10" customFormat="1" x14ac:dyDescent="0.2"/>
    <row r="197" s="10" customFormat="1" x14ac:dyDescent="0.2"/>
    <row r="198" s="10" customFormat="1" x14ac:dyDescent="0.2"/>
    <row r="199" s="10" customFormat="1" x14ac:dyDescent="0.2"/>
    <row r="200" s="10" customFormat="1" x14ac:dyDescent="0.2"/>
    <row r="201" s="10" customFormat="1" x14ac:dyDescent="0.2"/>
    <row r="202" s="10" customFormat="1" x14ac:dyDescent="0.2"/>
    <row r="203" s="10" customFormat="1" x14ac:dyDescent="0.2"/>
    <row r="204" s="10" customFormat="1" x14ac:dyDescent="0.2"/>
    <row r="205" s="10" customFormat="1" x14ac:dyDescent="0.2"/>
    <row r="206" s="10" customFormat="1" x14ac:dyDescent="0.2"/>
    <row r="207" s="10" customFormat="1" x14ac:dyDescent="0.2"/>
    <row r="208" s="10" customFormat="1" x14ac:dyDescent="0.2"/>
    <row r="209" s="10" customFormat="1" x14ac:dyDescent="0.2"/>
    <row r="210" s="10" customFormat="1" x14ac:dyDescent="0.2"/>
    <row r="211" s="10" customFormat="1" x14ac:dyDescent="0.2"/>
    <row r="212" s="10" customFormat="1" x14ac:dyDescent="0.2"/>
    <row r="213" s="10" customFormat="1" x14ac:dyDescent="0.2"/>
    <row r="214" s="10" customFormat="1" x14ac:dyDescent="0.2"/>
    <row r="215" s="10" customFormat="1" x14ac:dyDescent="0.2"/>
    <row r="216" s="10" customFormat="1" x14ac:dyDescent="0.2"/>
    <row r="217" s="10" customFormat="1" x14ac:dyDescent="0.2"/>
    <row r="218" s="10" customFormat="1" x14ac:dyDescent="0.2"/>
    <row r="219" s="10" customFormat="1" x14ac:dyDescent="0.2"/>
    <row r="220" s="10" customFormat="1" x14ac:dyDescent="0.2"/>
    <row r="221" s="10" customFormat="1" x14ac:dyDescent="0.2"/>
    <row r="222" s="10" customFormat="1" x14ac:dyDescent="0.2"/>
    <row r="223" s="10" customFormat="1" x14ac:dyDescent="0.2"/>
    <row r="224" s="10" customFormat="1" x14ac:dyDescent="0.2"/>
    <row r="225" s="10" customFormat="1" x14ac:dyDescent="0.2"/>
    <row r="226" s="10" customFormat="1" x14ac:dyDescent="0.2"/>
    <row r="227" s="10" customFormat="1" x14ac:dyDescent="0.2"/>
    <row r="228" s="10" customFormat="1" x14ac:dyDescent="0.2"/>
    <row r="229" s="10" customFormat="1" x14ac:dyDescent="0.2"/>
    <row r="230" s="10" customFormat="1" x14ac:dyDescent="0.2"/>
    <row r="231" s="10" customFormat="1" x14ac:dyDescent="0.2"/>
    <row r="232" s="10" customFormat="1" x14ac:dyDescent="0.2"/>
    <row r="233" s="10" customFormat="1" x14ac:dyDescent="0.2"/>
    <row r="234" s="10" customFormat="1" x14ac:dyDescent="0.2"/>
    <row r="235" s="10" customFormat="1" x14ac:dyDescent="0.2"/>
    <row r="236" s="10" customFormat="1" x14ac:dyDescent="0.2"/>
    <row r="237" s="10" customFormat="1" x14ac:dyDescent="0.2"/>
    <row r="238" s="10" customFormat="1" x14ac:dyDescent="0.2"/>
    <row r="239" s="10" customFormat="1" x14ac:dyDescent="0.2"/>
    <row r="240" s="10" customFormat="1" x14ac:dyDescent="0.2"/>
    <row r="241" s="10" customFormat="1" x14ac:dyDescent="0.2"/>
    <row r="242" s="10" customFormat="1" x14ac:dyDescent="0.2"/>
    <row r="243" s="10" customFormat="1" x14ac:dyDescent="0.2"/>
    <row r="244" s="10" customFormat="1" x14ac:dyDescent="0.2"/>
    <row r="245" s="10" customFormat="1" x14ac:dyDescent="0.2"/>
    <row r="246" s="10" customFormat="1" x14ac:dyDescent="0.2"/>
    <row r="247" s="10" customFormat="1" x14ac:dyDescent="0.2"/>
    <row r="248" s="10" customFormat="1" x14ac:dyDescent="0.2"/>
    <row r="249" s="10" customFormat="1" x14ac:dyDescent="0.2"/>
    <row r="250" s="10" customFormat="1" x14ac:dyDescent="0.2"/>
    <row r="251" s="10" customFormat="1" x14ac:dyDescent="0.2"/>
    <row r="252" s="10" customFormat="1" x14ac:dyDescent="0.2"/>
    <row r="253" s="10" customFormat="1" x14ac:dyDescent="0.2"/>
    <row r="254" s="10" customFormat="1" x14ac:dyDescent="0.2"/>
    <row r="255" s="10" customFormat="1" x14ac:dyDescent="0.2"/>
    <row r="256" s="10" customFormat="1" x14ac:dyDescent="0.2"/>
    <row r="257" s="10" customFormat="1" x14ac:dyDescent="0.2"/>
    <row r="258" s="10" customFormat="1" x14ac:dyDescent="0.2"/>
    <row r="259" s="10" customFormat="1" x14ac:dyDescent="0.2"/>
    <row r="260" s="10" customFormat="1" x14ac:dyDescent="0.2"/>
    <row r="261" s="10" customFormat="1" x14ac:dyDescent="0.2"/>
    <row r="262" s="10" customFormat="1" x14ac:dyDescent="0.2"/>
    <row r="263" s="10" customFormat="1" x14ac:dyDescent="0.2"/>
    <row r="264" s="10" customFormat="1" x14ac:dyDescent="0.2"/>
    <row r="265" s="10" customFormat="1" x14ac:dyDescent="0.2"/>
    <row r="266" s="10" customFormat="1" x14ac:dyDescent="0.2"/>
    <row r="267" s="10" customFormat="1" x14ac:dyDescent="0.2"/>
    <row r="268" s="10" customFormat="1" x14ac:dyDescent="0.2"/>
    <row r="269" s="10" customFormat="1" x14ac:dyDescent="0.2"/>
    <row r="270" s="10" customFormat="1" x14ac:dyDescent="0.2"/>
    <row r="271" s="10" customFormat="1" x14ac:dyDescent="0.2"/>
    <row r="272" s="10" customFormat="1" x14ac:dyDescent="0.2"/>
    <row r="273" s="10" customFormat="1" x14ac:dyDescent="0.2"/>
    <row r="274" s="10" customFormat="1" x14ac:dyDescent="0.2"/>
    <row r="275" s="10" customFormat="1" x14ac:dyDescent="0.2"/>
    <row r="276" s="10" customFormat="1" x14ac:dyDescent="0.2"/>
    <row r="277" s="10" customFormat="1" x14ac:dyDescent="0.2"/>
    <row r="278" s="10" customFormat="1" x14ac:dyDescent="0.2"/>
    <row r="279" s="10" customFormat="1" x14ac:dyDescent="0.2"/>
    <row r="280" s="10" customFormat="1" x14ac:dyDescent="0.2"/>
    <row r="281" s="10" customFormat="1" x14ac:dyDescent="0.2"/>
    <row r="282" s="10" customFormat="1" x14ac:dyDescent="0.2"/>
    <row r="283" s="10" customFormat="1" x14ac:dyDescent="0.2"/>
    <row r="284" s="10" customFormat="1" x14ac:dyDescent="0.2"/>
    <row r="285" s="10" customFormat="1" x14ac:dyDescent="0.2"/>
    <row r="286" s="10" customFormat="1" x14ac:dyDescent="0.2"/>
    <row r="287" s="10" customFormat="1" x14ac:dyDescent="0.2"/>
    <row r="288" s="10" customFormat="1" x14ac:dyDescent="0.2"/>
    <row r="289" s="10" customFormat="1" x14ac:dyDescent="0.2"/>
    <row r="290" s="10" customFormat="1" x14ac:dyDescent="0.2"/>
    <row r="291" s="10" customFormat="1" x14ac:dyDescent="0.2"/>
    <row r="292" s="10" customFormat="1" x14ac:dyDescent="0.2"/>
    <row r="293" s="10" customFormat="1" x14ac:dyDescent="0.2"/>
    <row r="294" s="10" customFormat="1" x14ac:dyDescent="0.2"/>
    <row r="295" s="10" customFormat="1" x14ac:dyDescent="0.2"/>
    <row r="296" s="10" customFormat="1" x14ac:dyDescent="0.2"/>
    <row r="297" s="10" customFormat="1" x14ac:dyDescent="0.2"/>
    <row r="298" s="10" customFormat="1" x14ac:dyDescent="0.2"/>
    <row r="299" s="10" customFormat="1" x14ac:dyDescent="0.2"/>
    <row r="300" s="10" customFormat="1" x14ac:dyDescent="0.2"/>
    <row r="301" s="10" customFormat="1" x14ac:dyDescent="0.2"/>
    <row r="302" s="10" customFormat="1" x14ac:dyDescent="0.2"/>
    <row r="303" s="10" customFormat="1" x14ac:dyDescent="0.2"/>
    <row r="304" s="10" customFormat="1" x14ac:dyDescent="0.2"/>
    <row r="305" s="10" customFormat="1" x14ac:dyDescent="0.2"/>
    <row r="306" s="10" customFormat="1" x14ac:dyDescent="0.2"/>
    <row r="307" s="10" customFormat="1" x14ac:dyDescent="0.2"/>
    <row r="308" s="10" customFormat="1" x14ac:dyDescent="0.2"/>
    <row r="309" s="10" customFormat="1" x14ac:dyDescent="0.2"/>
    <row r="310" s="10" customFormat="1" x14ac:dyDescent="0.2"/>
    <row r="311" s="10" customFormat="1" x14ac:dyDescent="0.2"/>
    <row r="312" s="10" customFormat="1" x14ac:dyDescent="0.2"/>
    <row r="313" s="10" customFormat="1" x14ac:dyDescent="0.2"/>
    <row r="314" s="10" customFormat="1" x14ac:dyDescent="0.2"/>
    <row r="315" s="10" customFormat="1" x14ac:dyDescent="0.2"/>
    <row r="316" s="10" customFormat="1" x14ac:dyDescent="0.2"/>
    <row r="317" s="10" customFormat="1" x14ac:dyDescent="0.2"/>
    <row r="318" s="10" customFormat="1" x14ac:dyDescent="0.2"/>
    <row r="319" s="10" customFormat="1" x14ac:dyDescent="0.2"/>
    <row r="320" s="10" customFormat="1" x14ac:dyDescent="0.2"/>
    <row r="321" s="10" customFormat="1" x14ac:dyDescent="0.2"/>
    <row r="322" s="10" customFormat="1" x14ac:dyDescent="0.2"/>
    <row r="323" s="10" customFormat="1" x14ac:dyDescent="0.2"/>
    <row r="324" s="10" customFormat="1" x14ac:dyDescent="0.2"/>
    <row r="325" s="10" customFormat="1" x14ac:dyDescent="0.2"/>
    <row r="326" s="10" customFormat="1" x14ac:dyDescent="0.2"/>
    <row r="327" s="10" customFormat="1" x14ac:dyDescent="0.2"/>
    <row r="328" s="10" customFormat="1" x14ac:dyDescent="0.2"/>
    <row r="329" s="10" customFormat="1" x14ac:dyDescent="0.2"/>
    <row r="330" s="10" customFormat="1" x14ac:dyDescent="0.2"/>
    <row r="331" s="10" customFormat="1" x14ac:dyDescent="0.2"/>
    <row r="332" s="10" customFormat="1" x14ac:dyDescent="0.2"/>
    <row r="333" s="10" customFormat="1" x14ac:dyDescent="0.2"/>
    <row r="334" s="10" customFormat="1" x14ac:dyDescent="0.2"/>
    <row r="335" s="10" customFormat="1" x14ac:dyDescent="0.2"/>
    <row r="336" s="10" customFormat="1" x14ac:dyDescent="0.2"/>
    <row r="337" s="10" customFormat="1" x14ac:dyDescent="0.2"/>
    <row r="338" s="10" customFormat="1" x14ac:dyDescent="0.2"/>
    <row r="339" s="10" customFormat="1" x14ac:dyDescent="0.2"/>
    <row r="340" s="10" customFormat="1" x14ac:dyDescent="0.2"/>
    <row r="341" s="10" customFormat="1" x14ac:dyDescent="0.2"/>
    <row r="342" s="10" customFormat="1" x14ac:dyDescent="0.2"/>
    <row r="343" s="10" customFormat="1" x14ac:dyDescent="0.2"/>
    <row r="344" s="10" customFormat="1" x14ac:dyDescent="0.2"/>
    <row r="345" s="10" customFormat="1" x14ac:dyDescent="0.2"/>
    <row r="346" s="10" customFormat="1" x14ac:dyDescent="0.2"/>
    <row r="347" s="10" customFormat="1" x14ac:dyDescent="0.2"/>
    <row r="348" s="10" customFormat="1" x14ac:dyDescent="0.2"/>
    <row r="349" s="10" customFormat="1" x14ac:dyDescent="0.2"/>
    <row r="350" s="10" customFormat="1" x14ac:dyDescent="0.2"/>
    <row r="351" s="10" customFormat="1" x14ac:dyDescent="0.2"/>
    <row r="352" s="10" customFormat="1" x14ac:dyDescent="0.2"/>
    <row r="353" s="10" customFormat="1" x14ac:dyDescent="0.2"/>
    <row r="354" s="10" customFormat="1" x14ac:dyDescent="0.2"/>
    <row r="355" s="10" customFormat="1" x14ac:dyDescent="0.2"/>
    <row r="356" s="10" customFormat="1" x14ac:dyDescent="0.2"/>
    <row r="357" s="10" customFormat="1" x14ac:dyDescent="0.2"/>
    <row r="358" s="10" customFormat="1" x14ac:dyDescent="0.2"/>
    <row r="359" s="10" customFormat="1" x14ac:dyDescent="0.2"/>
    <row r="360" s="10" customFormat="1" x14ac:dyDescent="0.2"/>
    <row r="361" s="10" customFormat="1" x14ac:dyDescent="0.2"/>
    <row r="362" s="10" customFormat="1" x14ac:dyDescent="0.2"/>
    <row r="363" s="10" customFormat="1" x14ac:dyDescent="0.2"/>
    <row r="364" s="10" customFormat="1" x14ac:dyDescent="0.2"/>
    <row r="365" s="10" customFormat="1" x14ac:dyDescent="0.2"/>
    <row r="366" s="10" customFormat="1" x14ac:dyDescent="0.2"/>
    <row r="367" s="10" customFormat="1" x14ac:dyDescent="0.2"/>
    <row r="368" s="10" customFormat="1" x14ac:dyDescent="0.2"/>
    <row r="369" s="10" customFormat="1" x14ac:dyDescent="0.2"/>
    <row r="370" s="10" customFormat="1" x14ac:dyDescent="0.2"/>
    <row r="371" s="10" customFormat="1" x14ac:dyDescent="0.2"/>
    <row r="372" s="10" customFormat="1" x14ac:dyDescent="0.2"/>
    <row r="373" s="10" customFormat="1" x14ac:dyDescent="0.2"/>
    <row r="374" s="10" customFormat="1" x14ac:dyDescent="0.2"/>
    <row r="375" s="10" customFormat="1" x14ac:dyDescent="0.2"/>
    <row r="376" s="10" customFormat="1" x14ac:dyDescent="0.2"/>
    <row r="377" s="10" customFormat="1" x14ac:dyDescent="0.2"/>
    <row r="378" s="10" customFormat="1" x14ac:dyDescent="0.2"/>
    <row r="379" s="10" customFormat="1" x14ac:dyDescent="0.2"/>
    <row r="380" s="10" customFormat="1" x14ac:dyDescent="0.2"/>
    <row r="381" s="10" customFormat="1" x14ac:dyDescent="0.2"/>
    <row r="382" s="10" customFormat="1" x14ac:dyDescent="0.2"/>
    <row r="383" s="10" customFormat="1" x14ac:dyDescent="0.2"/>
    <row r="384" s="10" customFormat="1" x14ac:dyDescent="0.2"/>
    <row r="385" s="10" customFormat="1" x14ac:dyDescent="0.2"/>
    <row r="386" s="10" customFormat="1" x14ac:dyDescent="0.2"/>
    <row r="387" s="10" customFormat="1" x14ac:dyDescent="0.2"/>
    <row r="388" s="10" customFormat="1" x14ac:dyDescent="0.2"/>
    <row r="389" s="10" customFormat="1" x14ac:dyDescent="0.2"/>
    <row r="390" s="10" customFormat="1" x14ac:dyDescent="0.2"/>
    <row r="391" s="10" customFormat="1" x14ac:dyDescent="0.2"/>
    <row r="392" s="10" customFormat="1" x14ac:dyDescent="0.2"/>
    <row r="393" s="10" customFormat="1" x14ac:dyDescent="0.2"/>
    <row r="394" s="10" customFormat="1" x14ac:dyDescent="0.2"/>
    <row r="395" s="10" customFormat="1" x14ac:dyDescent="0.2"/>
    <row r="396" s="10" customFormat="1" x14ac:dyDescent="0.2"/>
    <row r="397" s="10" customFormat="1" x14ac:dyDescent="0.2"/>
    <row r="398" s="10" customFormat="1" x14ac:dyDescent="0.2"/>
    <row r="399" s="10" customFormat="1" x14ac:dyDescent="0.2"/>
    <row r="400" s="10" customFormat="1" x14ac:dyDescent="0.2"/>
    <row r="401" s="10" customFormat="1" x14ac:dyDescent="0.2"/>
    <row r="402" s="10" customFormat="1" x14ac:dyDescent="0.2"/>
    <row r="403" s="10" customFormat="1" x14ac:dyDescent="0.2"/>
    <row r="404" s="10" customFormat="1" x14ac:dyDescent="0.2"/>
    <row r="405" s="10" customFormat="1" x14ac:dyDescent="0.2"/>
    <row r="406" s="10" customFormat="1" x14ac:dyDescent="0.2"/>
    <row r="407" s="10" customFormat="1" x14ac:dyDescent="0.2"/>
    <row r="408" s="10" customFormat="1" x14ac:dyDescent="0.2"/>
    <row r="409" s="10" customFormat="1" x14ac:dyDescent="0.2"/>
    <row r="410" s="10" customFormat="1" x14ac:dyDescent="0.2"/>
    <row r="411" s="10" customFormat="1" x14ac:dyDescent="0.2"/>
    <row r="412" s="10" customFormat="1" x14ac:dyDescent="0.2"/>
    <row r="413" s="10" customFormat="1" x14ac:dyDescent="0.2"/>
    <row r="414" s="10" customFormat="1" x14ac:dyDescent="0.2"/>
    <row r="415" s="10" customFormat="1" x14ac:dyDescent="0.2"/>
    <row r="416" s="10" customFormat="1" x14ac:dyDescent="0.2"/>
    <row r="417" s="10" customFormat="1" x14ac:dyDescent="0.2"/>
    <row r="418" s="10" customFormat="1" x14ac:dyDescent="0.2"/>
    <row r="419" s="10" customFormat="1" x14ac:dyDescent="0.2"/>
    <row r="420" s="10" customFormat="1" x14ac:dyDescent="0.2"/>
    <row r="421" s="10" customFormat="1" x14ac:dyDescent="0.2"/>
    <row r="422" s="10" customFormat="1" x14ac:dyDescent="0.2"/>
    <row r="423" s="10" customFormat="1" x14ac:dyDescent="0.2"/>
    <row r="424" s="10" customFormat="1" x14ac:dyDescent="0.2"/>
    <row r="425" s="10" customFormat="1" x14ac:dyDescent="0.2"/>
    <row r="426" s="10" customFormat="1" x14ac:dyDescent="0.2"/>
    <row r="427" s="10" customFormat="1" x14ac:dyDescent="0.2"/>
    <row r="428" s="10" customFormat="1" x14ac:dyDescent="0.2"/>
    <row r="429" s="10" customFormat="1" x14ac:dyDescent="0.2"/>
    <row r="430" s="10" customFormat="1" x14ac:dyDescent="0.2"/>
    <row r="431" s="10" customFormat="1" x14ac:dyDescent="0.2"/>
    <row r="432" s="10" customFormat="1" x14ac:dyDescent="0.2"/>
    <row r="433" s="10" customFormat="1" x14ac:dyDescent="0.2"/>
    <row r="434" s="10" customFormat="1" x14ac:dyDescent="0.2"/>
    <row r="435" s="10" customFormat="1" x14ac:dyDescent="0.2"/>
    <row r="436" s="10" customFormat="1" x14ac:dyDescent="0.2"/>
    <row r="437" s="10" customFormat="1" x14ac:dyDescent="0.2"/>
    <row r="438" s="10" customFormat="1" x14ac:dyDescent="0.2"/>
    <row r="439" s="10" customFormat="1" x14ac:dyDescent="0.2"/>
    <row r="440" s="10" customFormat="1" x14ac:dyDescent="0.2"/>
    <row r="441" s="10" customFormat="1" x14ac:dyDescent="0.2"/>
    <row r="442" s="10" customFormat="1" x14ac:dyDescent="0.2"/>
    <row r="443" s="10" customFormat="1" x14ac:dyDescent="0.2"/>
    <row r="444" s="10" customFormat="1" x14ac:dyDescent="0.2"/>
    <row r="445" s="10" customFormat="1" x14ac:dyDescent="0.2"/>
    <row r="446" s="10" customFormat="1" x14ac:dyDescent="0.2"/>
    <row r="447" s="10" customFormat="1" x14ac:dyDescent="0.2"/>
    <row r="448" s="10" customFormat="1" x14ac:dyDescent="0.2"/>
    <row r="449" s="10" customFormat="1" x14ac:dyDescent="0.2"/>
    <row r="450" s="10" customFormat="1" x14ac:dyDescent="0.2"/>
    <row r="451" s="10" customFormat="1" x14ac:dyDescent="0.2"/>
    <row r="452" s="10" customFormat="1" x14ac:dyDescent="0.2"/>
    <row r="453" s="10" customFormat="1" x14ac:dyDescent="0.2"/>
    <row r="454" s="10" customFormat="1" x14ac:dyDescent="0.2"/>
    <row r="455" s="10" customFormat="1" x14ac:dyDescent="0.2"/>
    <row r="456" s="10" customFormat="1" x14ac:dyDescent="0.2"/>
    <row r="457" s="10" customFormat="1" x14ac:dyDescent="0.2"/>
    <row r="458" s="10" customFormat="1" x14ac:dyDescent="0.2"/>
    <row r="459" s="10" customFormat="1" x14ac:dyDescent="0.2"/>
    <row r="460" s="10" customFormat="1" x14ac:dyDescent="0.2"/>
    <row r="461" s="10" customFormat="1" x14ac:dyDescent="0.2"/>
    <row r="462" s="10" customFormat="1" x14ac:dyDescent="0.2"/>
    <row r="463" s="10" customFormat="1" x14ac:dyDescent="0.2"/>
    <row r="464" s="10" customFormat="1" x14ac:dyDescent="0.2"/>
    <row r="465" s="10" customFormat="1" x14ac:dyDescent="0.2"/>
    <row r="466" s="10" customFormat="1" x14ac:dyDescent="0.2"/>
    <row r="467" s="10" customFormat="1" x14ac:dyDescent="0.2"/>
    <row r="468" s="10" customFormat="1" x14ac:dyDescent="0.2"/>
    <row r="469" s="10" customFormat="1" x14ac:dyDescent="0.2"/>
    <row r="470" s="10" customFormat="1" x14ac:dyDescent="0.2"/>
    <row r="471" s="10" customFormat="1" x14ac:dyDescent="0.2"/>
    <row r="472" s="10" customFormat="1" x14ac:dyDescent="0.2"/>
    <row r="473" s="10" customFormat="1" x14ac:dyDescent="0.2"/>
    <row r="474" s="10" customFormat="1" x14ac:dyDescent="0.2"/>
    <row r="475" s="10" customFormat="1" x14ac:dyDescent="0.2"/>
    <row r="476" s="10" customFormat="1" x14ac:dyDescent="0.2"/>
    <row r="477" s="10" customFormat="1" x14ac:dyDescent="0.2"/>
    <row r="478" s="10" customFormat="1" x14ac:dyDescent="0.2"/>
    <row r="479" s="10" customFormat="1" x14ac:dyDescent="0.2"/>
    <row r="480" s="10" customFormat="1" x14ac:dyDescent="0.2"/>
    <row r="481" s="10" customFormat="1" x14ac:dyDescent="0.2"/>
    <row r="482" s="10" customFormat="1" x14ac:dyDescent="0.2"/>
    <row r="483" s="10" customFormat="1" x14ac:dyDescent="0.2"/>
    <row r="484" s="10" customFormat="1" x14ac:dyDescent="0.2"/>
    <row r="485" s="10" customFormat="1" x14ac:dyDescent="0.2"/>
    <row r="486" s="10" customFormat="1" x14ac:dyDescent="0.2"/>
    <row r="487" s="10" customFormat="1" x14ac:dyDescent="0.2"/>
    <row r="488" s="10" customFormat="1" x14ac:dyDescent="0.2"/>
    <row r="489" s="10" customFormat="1" x14ac:dyDescent="0.2"/>
    <row r="490" s="10" customFormat="1" x14ac:dyDescent="0.2"/>
    <row r="491" s="10" customFormat="1" x14ac:dyDescent="0.2"/>
    <row r="492" s="10" customFormat="1" x14ac:dyDescent="0.2"/>
    <row r="493" s="10" customFormat="1" x14ac:dyDescent="0.2"/>
    <row r="494" s="10" customFormat="1" x14ac:dyDescent="0.2"/>
    <row r="495" s="10" customFormat="1" x14ac:dyDescent="0.2"/>
    <row r="496" s="10" customFormat="1" x14ac:dyDescent="0.2"/>
    <row r="497" s="10" customFormat="1" x14ac:dyDescent="0.2"/>
    <row r="498" s="10" customFormat="1" x14ac:dyDescent="0.2"/>
    <row r="499" s="10" customFormat="1" x14ac:dyDescent="0.2"/>
    <row r="500" s="10" customFormat="1" x14ac:dyDescent="0.2"/>
    <row r="501" s="10" customFormat="1" x14ac:dyDescent="0.2"/>
    <row r="502" s="10" customFormat="1" x14ac:dyDescent="0.2"/>
    <row r="503" s="10" customFormat="1" x14ac:dyDescent="0.2"/>
    <row r="504" s="10" customFormat="1" x14ac:dyDescent="0.2"/>
    <row r="505" s="10" customFormat="1" x14ac:dyDescent="0.2"/>
    <row r="506" s="10" customFormat="1" x14ac:dyDescent="0.2"/>
    <row r="507" s="10" customFormat="1" x14ac:dyDescent="0.2"/>
    <row r="508" s="10" customFormat="1" x14ac:dyDescent="0.2"/>
    <row r="509" s="10" customFormat="1" x14ac:dyDescent="0.2"/>
    <row r="510" s="10" customFormat="1" x14ac:dyDescent="0.2"/>
    <row r="511" s="10" customFormat="1" x14ac:dyDescent="0.2"/>
    <row r="512" s="10" customFormat="1" x14ac:dyDescent="0.2"/>
    <row r="513" s="10" customFormat="1" x14ac:dyDescent="0.2"/>
    <row r="514" s="10" customFormat="1" x14ac:dyDescent="0.2"/>
    <row r="515" s="10" customFormat="1" x14ac:dyDescent="0.2"/>
    <row r="516" s="10" customFormat="1" x14ac:dyDescent="0.2"/>
    <row r="517" s="10" customFormat="1" x14ac:dyDescent="0.2"/>
    <row r="518" s="10" customFormat="1" x14ac:dyDescent="0.2"/>
    <row r="519" s="10" customFormat="1" x14ac:dyDescent="0.2"/>
    <row r="520" s="10" customFormat="1" x14ac:dyDescent="0.2"/>
    <row r="521" s="10" customFormat="1" x14ac:dyDescent="0.2"/>
    <row r="522" s="10" customFormat="1" x14ac:dyDescent="0.2"/>
    <row r="523" s="10" customFormat="1" x14ac:dyDescent="0.2"/>
    <row r="524" s="10" customFormat="1" x14ac:dyDescent="0.2"/>
    <row r="525" s="10" customFormat="1" x14ac:dyDescent="0.2"/>
    <row r="526" s="10" customFormat="1" x14ac:dyDescent="0.2"/>
    <row r="527" s="10" customFormat="1" x14ac:dyDescent="0.2"/>
    <row r="528" s="10" customFormat="1" x14ac:dyDescent="0.2"/>
    <row r="529" s="10" customFormat="1" x14ac:dyDescent="0.2"/>
    <row r="530" s="10" customFormat="1" x14ac:dyDescent="0.2"/>
    <row r="531" s="10" customFormat="1" x14ac:dyDescent="0.2"/>
    <row r="532" s="10" customFormat="1" x14ac:dyDescent="0.2"/>
    <row r="533" s="10" customFormat="1" x14ac:dyDescent="0.2"/>
    <row r="534" s="10" customFormat="1" x14ac:dyDescent="0.2"/>
    <row r="535" s="10" customFormat="1" x14ac:dyDescent="0.2"/>
    <row r="536" s="10" customFormat="1" x14ac:dyDescent="0.2"/>
    <row r="537" s="10" customFormat="1" x14ac:dyDescent="0.2"/>
    <row r="538" s="10" customFormat="1" x14ac:dyDescent="0.2"/>
    <row r="539" s="10" customFormat="1" x14ac:dyDescent="0.2"/>
    <row r="540" s="10" customFormat="1" x14ac:dyDescent="0.2"/>
    <row r="541" s="10" customFormat="1" x14ac:dyDescent="0.2"/>
    <row r="542" s="10" customFormat="1" x14ac:dyDescent="0.2"/>
    <row r="543" s="10" customFormat="1" x14ac:dyDescent="0.2"/>
    <row r="544" s="10" customFormat="1" x14ac:dyDescent="0.2"/>
    <row r="545" s="10" customFormat="1" x14ac:dyDescent="0.2"/>
    <row r="546" s="10" customFormat="1" x14ac:dyDescent="0.2"/>
    <row r="547" s="10" customFormat="1" x14ac:dyDescent="0.2"/>
    <row r="548" s="10" customFormat="1" x14ac:dyDescent="0.2"/>
    <row r="549" s="10" customFormat="1" x14ac:dyDescent="0.2"/>
    <row r="550" s="10" customFormat="1" x14ac:dyDescent="0.2"/>
    <row r="551" s="10" customFormat="1" x14ac:dyDescent="0.2"/>
    <row r="552" s="10" customFormat="1" x14ac:dyDescent="0.2"/>
    <row r="553" s="10" customFormat="1" x14ac:dyDescent="0.2"/>
    <row r="554" s="10" customFormat="1" x14ac:dyDescent="0.2"/>
    <row r="555" s="10" customFormat="1" x14ac:dyDescent="0.2"/>
    <row r="556" s="10" customFormat="1" x14ac:dyDescent="0.2"/>
    <row r="557" s="10" customFormat="1" x14ac:dyDescent="0.2"/>
    <row r="558" s="10" customFormat="1" x14ac:dyDescent="0.2"/>
    <row r="559" s="10" customFormat="1" x14ac:dyDescent="0.2"/>
    <row r="560" s="10" customFormat="1" x14ac:dyDescent="0.2"/>
    <row r="561" s="10" customFormat="1" x14ac:dyDescent="0.2"/>
    <row r="562" s="10" customFormat="1" x14ac:dyDescent="0.2"/>
    <row r="563" s="10" customFormat="1" x14ac:dyDescent="0.2"/>
    <row r="564" s="10" customFormat="1" x14ac:dyDescent="0.2"/>
    <row r="565" s="10" customFormat="1" x14ac:dyDescent="0.2"/>
    <row r="566" s="10" customFormat="1" x14ac:dyDescent="0.2"/>
    <row r="567" s="10" customFormat="1" x14ac:dyDescent="0.2"/>
    <row r="568" s="10" customFormat="1" x14ac:dyDescent="0.2"/>
    <row r="569" s="10" customFormat="1" x14ac:dyDescent="0.2"/>
    <row r="570" s="10" customFormat="1" x14ac:dyDescent="0.2"/>
    <row r="571" s="10" customFormat="1" x14ac:dyDescent="0.2"/>
    <row r="572" s="10" customFormat="1" x14ac:dyDescent="0.2"/>
    <row r="573" s="10" customFormat="1" x14ac:dyDescent="0.2"/>
    <row r="574" s="10" customFormat="1" x14ac:dyDescent="0.2"/>
    <row r="575" s="10" customFormat="1" x14ac:dyDescent="0.2"/>
    <row r="576" s="10" customFormat="1" x14ac:dyDescent="0.2"/>
    <row r="577" s="10" customFormat="1" x14ac:dyDescent="0.2"/>
    <row r="578" s="10" customFormat="1" x14ac:dyDescent="0.2"/>
    <row r="579" s="10" customFormat="1" x14ac:dyDescent="0.2"/>
    <row r="580" s="10" customFormat="1" x14ac:dyDescent="0.2"/>
    <row r="581" s="10" customFormat="1" x14ac:dyDescent="0.2"/>
    <row r="582" s="10" customFormat="1" x14ac:dyDescent="0.2"/>
    <row r="583" s="10" customFormat="1" x14ac:dyDescent="0.2"/>
    <row r="584" s="10" customFormat="1" x14ac:dyDescent="0.2"/>
    <row r="585" s="10" customFormat="1" x14ac:dyDescent="0.2"/>
    <row r="586" s="10" customFormat="1" x14ac:dyDescent="0.2"/>
    <row r="587" s="10" customFormat="1" x14ac:dyDescent="0.2"/>
    <row r="588" s="10" customFormat="1" x14ac:dyDescent="0.2"/>
    <row r="589" s="10" customFormat="1" x14ac:dyDescent="0.2"/>
    <row r="590" s="10" customFormat="1" x14ac:dyDescent="0.2"/>
    <row r="591" s="10" customFormat="1" x14ac:dyDescent="0.2"/>
    <row r="592" s="10" customFormat="1" x14ac:dyDescent="0.2"/>
    <row r="593" s="10" customFormat="1" x14ac:dyDescent="0.2"/>
    <row r="594" s="10" customFormat="1" x14ac:dyDescent="0.2"/>
    <row r="595" s="10" customFormat="1" x14ac:dyDescent="0.2"/>
    <row r="596" s="10" customFormat="1" x14ac:dyDescent="0.2"/>
    <row r="597" s="10" customFormat="1" x14ac:dyDescent="0.2"/>
    <row r="598" s="10" customFormat="1" x14ac:dyDescent="0.2"/>
    <row r="599" s="10" customFormat="1" x14ac:dyDescent="0.2"/>
    <row r="600" s="10" customFormat="1" x14ac:dyDescent="0.2"/>
    <row r="601" s="10" customFormat="1" x14ac:dyDescent="0.2"/>
    <row r="602" s="10" customFormat="1" x14ac:dyDescent="0.2"/>
    <row r="603" s="10" customFormat="1" x14ac:dyDescent="0.2"/>
    <row r="604" s="10" customFormat="1" x14ac:dyDescent="0.2"/>
    <row r="605" s="10" customFormat="1" x14ac:dyDescent="0.2"/>
    <row r="606" s="10" customFormat="1" x14ac:dyDescent="0.2"/>
    <row r="607" s="10" customFormat="1" x14ac:dyDescent="0.2"/>
    <row r="608" s="10" customFormat="1" x14ac:dyDescent="0.2"/>
    <row r="609" s="10" customFormat="1" x14ac:dyDescent="0.2"/>
    <row r="610" s="10" customFormat="1" x14ac:dyDescent="0.2"/>
    <row r="611" s="10" customFormat="1" x14ac:dyDescent="0.2"/>
    <row r="612" s="10" customFormat="1" x14ac:dyDescent="0.2"/>
    <row r="613" s="10" customFormat="1" x14ac:dyDescent="0.2"/>
    <row r="614" s="10" customFormat="1" x14ac:dyDescent="0.2"/>
    <row r="615" s="10" customFormat="1" x14ac:dyDescent="0.2"/>
    <row r="616" s="10" customFormat="1" x14ac:dyDescent="0.2"/>
    <row r="617" s="10" customFormat="1" x14ac:dyDescent="0.2"/>
    <row r="618" s="10" customFormat="1" x14ac:dyDescent="0.2"/>
    <row r="619" s="10" customFormat="1" x14ac:dyDescent="0.2"/>
    <row r="620" s="10" customFormat="1" x14ac:dyDescent="0.2"/>
    <row r="621" s="10" customFormat="1" x14ac:dyDescent="0.2"/>
    <row r="622" s="10" customFormat="1" x14ac:dyDescent="0.2"/>
    <row r="623" s="10" customFormat="1" x14ac:dyDescent="0.2"/>
    <row r="624" s="10" customFormat="1" x14ac:dyDescent="0.2"/>
    <row r="625" s="10" customFormat="1" x14ac:dyDescent="0.2"/>
    <row r="626" s="10" customFormat="1" x14ac:dyDescent="0.2"/>
    <row r="627" s="10" customFormat="1" x14ac:dyDescent="0.2"/>
    <row r="628" s="10" customFormat="1" x14ac:dyDescent="0.2"/>
    <row r="629" s="10" customFormat="1" x14ac:dyDescent="0.2"/>
    <row r="630" s="10" customFormat="1" x14ac:dyDescent="0.2"/>
    <row r="631" s="10" customFormat="1" x14ac:dyDescent="0.2"/>
    <row r="632" s="10" customFormat="1" x14ac:dyDescent="0.2"/>
    <row r="633" s="10" customFormat="1" x14ac:dyDescent="0.2"/>
    <row r="634" s="10" customFormat="1" x14ac:dyDescent="0.2"/>
    <row r="635" s="10" customFormat="1" x14ac:dyDescent="0.2"/>
    <row r="636" s="10" customFormat="1" x14ac:dyDescent="0.2"/>
    <row r="637" s="10" customFormat="1" x14ac:dyDescent="0.2"/>
    <row r="638" s="10" customFormat="1" x14ac:dyDescent="0.2"/>
    <row r="639" s="10" customFormat="1" x14ac:dyDescent="0.2"/>
    <row r="640" s="10" customFormat="1" x14ac:dyDescent="0.2"/>
    <row r="641" s="10" customFormat="1" x14ac:dyDescent="0.2"/>
    <row r="642" s="10" customFormat="1" x14ac:dyDescent="0.2"/>
    <row r="643" s="10" customFormat="1" x14ac:dyDescent="0.2"/>
    <row r="644" s="10" customFormat="1" x14ac:dyDescent="0.2"/>
    <row r="645" s="10" customFormat="1" x14ac:dyDescent="0.2"/>
    <row r="646" s="10" customFormat="1" x14ac:dyDescent="0.2"/>
    <row r="647" s="10" customFormat="1" x14ac:dyDescent="0.2"/>
    <row r="648" s="10" customFormat="1" x14ac:dyDescent="0.2"/>
    <row r="649" s="10" customFormat="1" x14ac:dyDescent="0.2"/>
    <row r="650" s="10" customFormat="1" x14ac:dyDescent="0.2"/>
    <row r="651" s="10" customFormat="1" x14ac:dyDescent="0.2"/>
    <row r="652" s="10" customFormat="1" x14ac:dyDescent="0.2"/>
    <row r="653" s="10" customFormat="1" x14ac:dyDescent="0.2"/>
    <row r="654" s="10" customFormat="1" x14ac:dyDescent="0.2"/>
    <row r="655" s="10" customFormat="1" x14ac:dyDescent="0.2"/>
    <row r="656" s="10" customFormat="1" x14ac:dyDescent="0.2"/>
    <row r="657" s="10" customFormat="1" x14ac:dyDescent="0.2"/>
    <row r="658" s="10" customFormat="1" x14ac:dyDescent="0.2"/>
    <row r="659" s="10" customFormat="1" x14ac:dyDescent="0.2"/>
    <row r="660" s="10" customFormat="1" x14ac:dyDescent="0.2"/>
    <row r="661" s="10" customFormat="1" x14ac:dyDescent="0.2"/>
    <row r="662" s="10" customFormat="1" x14ac:dyDescent="0.2"/>
    <row r="663" s="10" customFormat="1" x14ac:dyDescent="0.2"/>
    <row r="664" s="10" customFormat="1" x14ac:dyDescent="0.2"/>
    <row r="665" s="10" customFormat="1" x14ac:dyDescent="0.2"/>
    <row r="666" s="10" customFormat="1" x14ac:dyDescent="0.2"/>
    <row r="667" s="10" customFormat="1" x14ac:dyDescent="0.2"/>
    <row r="668" s="10" customFormat="1" x14ac:dyDescent="0.2"/>
    <row r="669" s="10" customFormat="1" x14ac:dyDescent="0.2"/>
    <row r="670" s="10" customFormat="1" x14ac:dyDescent="0.2"/>
    <row r="671" s="10" customFormat="1" x14ac:dyDescent="0.2"/>
    <row r="672" s="10" customFormat="1" x14ac:dyDescent="0.2"/>
    <row r="673" s="10" customFormat="1" x14ac:dyDescent="0.2"/>
    <row r="674" s="10" customFormat="1" x14ac:dyDescent="0.2"/>
    <row r="675" s="10" customFormat="1" x14ac:dyDescent="0.2"/>
    <row r="676" s="10" customFormat="1" x14ac:dyDescent="0.2"/>
    <row r="677" s="10" customFormat="1" x14ac:dyDescent="0.2"/>
    <row r="678" s="10" customFormat="1" x14ac:dyDescent="0.2"/>
    <row r="679" s="10" customFormat="1" x14ac:dyDescent="0.2"/>
    <row r="680" s="10" customFormat="1" x14ac:dyDescent="0.2"/>
    <row r="681" s="10" customFormat="1" x14ac:dyDescent="0.2"/>
    <row r="682" s="10" customFormat="1" x14ac:dyDescent="0.2"/>
    <row r="683" s="10" customFormat="1" x14ac:dyDescent="0.2"/>
    <row r="684" s="10" customFormat="1" x14ac:dyDescent="0.2"/>
    <row r="685" s="10" customFormat="1" x14ac:dyDescent="0.2"/>
    <row r="686" s="10" customFormat="1" x14ac:dyDescent="0.2"/>
    <row r="687" s="10" customFormat="1" x14ac:dyDescent="0.2"/>
    <row r="688" s="10" customFormat="1" x14ac:dyDescent="0.2"/>
    <row r="689" s="10" customFormat="1" x14ac:dyDescent="0.2"/>
    <row r="690" s="10" customFormat="1" x14ac:dyDescent="0.2"/>
    <row r="691" s="10" customFormat="1" x14ac:dyDescent="0.2"/>
    <row r="692" s="10" customFormat="1" x14ac:dyDescent="0.2"/>
    <row r="693" s="10" customFormat="1" x14ac:dyDescent="0.2"/>
    <row r="694" s="10" customFormat="1" x14ac:dyDescent="0.2"/>
    <row r="695" s="10" customFormat="1" x14ac:dyDescent="0.2"/>
    <row r="696" s="10" customFormat="1" x14ac:dyDescent="0.2"/>
    <row r="697" s="10" customFormat="1" x14ac:dyDescent="0.2"/>
    <row r="698" s="10" customFormat="1" x14ac:dyDescent="0.2"/>
    <row r="699" s="10" customFormat="1" x14ac:dyDescent="0.2"/>
    <row r="700" s="10" customFormat="1" x14ac:dyDescent="0.2"/>
    <row r="701" s="10" customFormat="1" x14ac:dyDescent="0.2"/>
    <row r="702" s="10" customFormat="1" x14ac:dyDescent="0.2"/>
    <row r="703" s="10" customFormat="1" x14ac:dyDescent="0.2"/>
    <row r="704" s="10" customFormat="1" x14ac:dyDescent="0.2"/>
    <row r="705" s="10" customFormat="1" x14ac:dyDescent="0.2"/>
    <row r="706" s="10" customFormat="1" x14ac:dyDescent="0.2"/>
    <row r="707" s="10" customFormat="1" x14ac:dyDescent="0.2"/>
    <row r="708" s="10" customFormat="1" x14ac:dyDescent="0.2"/>
    <row r="709" s="10" customFormat="1" x14ac:dyDescent="0.2"/>
    <row r="710" s="10" customFormat="1" x14ac:dyDescent="0.2"/>
    <row r="711" s="10" customFormat="1" x14ac:dyDescent="0.2"/>
    <row r="712" s="10" customFormat="1" x14ac:dyDescent="0.2"/>
    <row r="713" s="10" customFormat="1" x14ac:dyDescent="0.2"/>
    <row r="714" s="10" customFormat="1" x14ac:dyDescent="0.2"/>
    <row r="715" s="10" customFormat="1" x14ac:dyDescent="0.2"/>
    <row r="716" s="10" customFormat="1" x14ac:dyDescent="0.2"/>
    <row r="717" s="10" customFormat="1" x14ac:dyDescent="0.2"/>
    <row r="718" s="10" customFormat="1" x14ac:dyDescent="0.2"/>
    <row r="719" s="10" customFormat="1" x14ac:dyDescent="0.2"/>
    <row r="720" s="10" customFormat="1" x14ac:dyDescent="0.2"/>
    <row r="721" s="10" customFormat="1" x14ac:dyDescent="0.2"/>
    <row r="722" s="10" customFormat="1" x14ac:dyDescent="0.2"/>
    <row r="723" s="10" customFormat="1" x14ac:dyDescent="0.2"/>
    <row r="724" s="10" customFormat="1" x14ac:dyDescent="0.2"/>
    <row r="725" s="10" customFormat="1" x14ac:dyDescent="0.2"/>
    <row r="726" s="10" customFormat="1" x14ac:dyDescent="0.2"/>
    <row r="727" s="10" customFormat="1" x14ac:dyDescent="0.2"/>
    <row r="728" s="10" customFormat="1" x14ac:dyDescent="0.2"/>
    <row r="729" s="10" customFormat="1" x14ac:dyDescent="0.2"/>
    <row r="730" s="10" customFormat="1" x14ac:dyDescent="0.2"/>
    <row r="731" s="10" customFormat="1" x14ac:dyDescent="0.2"/>
    <row r="732" s="10" customFormat="1" x14ac:dyDescent="0.2"/>
    <row r="733" s="10" customFormat="1" x14ac:dyDescent="0.2"/>
    <row r="734" s="10" customFormat="1" x14ac:dyDescent="0.2"/>
    <row r="735" s="10" customFormat="1" x14ac:dyDescent="0.2"/>
    <row r="736" s="10" customFormat="1" x14ac:dyDescent="0.2"/>
    <row r="737" s="10" customFormat="1" x14ac:dyDescent="0.2"/>
    <row r="738" s="10" customFormat="1" x14ac:dyDescent="0.2"/>
    <row r="739" s="10" customFormat="1" x14ac:dyDescent="0.2"/>
    <row r="740" s="10" customFormat="1" x14ac:dyDescent="0.2"/>
    <row r="741" s="10" customFormat="1" x14ac:dyDescent="0.2"/>
    <row r="742" s="10" customFormat="1" x14ac:dyDescent="0.2"/>
    <row r="743" s="10" customFormat="1" x14ac:dyDescent="0.2"/>
    <row r="744" s="10" customFormat="1" x14ac:dyDescent="0.2"/>
    <row r="745" s="10" customFormat="1" x14ac:dyDescent="0.2"/>
    <row r="746" s="10" customFormat="1" x14ac:dyDescent="0.2"/>
    <row r="747" s="10" customFormat="1" x14ac:dyDescent="0.2"/>
    <row r="748" s="10" customFormat="1" x14ac:dyDescent="0.2"/>
    <row r="749" s="10" customFormat="1" x14ac:dyDescent="0.2"/>
    <row r="750" s="10" customFormat="1" x14ac:dyDescent="0.2"/>
    <row r="751" s="10" customFormat="1" x14ac:dyDescent="0.2"/>
    <row r="752" s="10" customFormat="1" x14ac:dyDescent="0.2"/>
    <row r="753" s="10" customFormat="1" x14ac:dyDescent="0.2"/>
    <row r="754" s="10" customFormat="1" x14ac:dyDescent="0.2"/>
    <row r="755" s="10" customFormat="1" x14ac:dyDescent="0.2"/>
    <row r="756" s="10" customFormat="1" x14ac:dyDescent="0.2"/>
    <row r="757" s="10" customFormat="1" x14ac:dyDescent="0.2"/>
    <row r="758" s="10" customFormat="1" x14ac:dyDescent="0.2"/>
    <row r="759" s="10" customFormat="1" x14ac:dyDescent="0.2"/>
    <row r="760" s="10" customFormat="1" x14ac:dyDescent="0.2"/>
    <row r="761" s="10" customFormat="1" x14ac:dyDescent="0.2"/>
    <row r="762" s="10" customFormat="1" x14ac:dyDescent="0.2"/>
    <row r="763" s="10" customFormat="1" x14ac:dyDescent="0.2"/>
    <row r="764" s="10" customFormat="1" x14ac:dyDescent="0.2"/>
    <row r="765" s="10" customFormat="1" x14ac:dyDescent="0.2"/>
    <row r="766" s="10" customFormat="1" x14ac:dyDescent="0.2"/>
    <row r="767" s="10" customFormat="1" x14ac:dyDescent="0.2"/>
    <row r="768" s="10" customFormat="1" x14ac:dyDescent="0.2"/>
    <row r="769" s="10" customFormat="1" x14ac:dyDescent="0.2"/>
    <row r="770" s="10" customFormat="1" x14ac:dyDescent="0.2"/>
    <row r="771" s="10" customFormat="1" x14ac:dyDescent="0.2"/>
    <row r="772" s="10" customFormat="1" x14ac:dyDescent="0.2"/>
    <row r="773" s="10" customFormat="1" x14ac:dyDescent="0.2"/>
    <row r="774" s="10" customFormat="1" x14ac:dyDescent="0.2"/>
    <row r="775" s="10" customFormat="1" x14ac:dyDescent="0.2"/>
    <row r="776" s="10" customFormat="1" x14ac:dyDescent="0.2"/>
    <row r="777" s="10" customFormat="1" x14ac:dyDescent="0.2"/>
    <row r="778" s="10" customFormat="1" x14ac:dyDescent="0.2"/>
    <row r="779" s="10" customFormat="1" x14ac:dyDescent="0.2"/>
    <row r="780" s="10" customFormat="1" x14ac:dyDescent="0.2"/>
    <row r="781" s="10" customFormat="1" x14ac:dyDescent="0.2"/>
    <row r="782" s="10" customFormat="1" x14ac:dyDescent="0.2"/>
    <row r="783" s="10" customFormat="1" x14ac:dyDescent="0.2"/>
    <row r="784" s="10" customFormat="1" x14ac:dyDescent="0.2"/>
    <row r="785" s="10" customFormat="1" x14ac:dyDescent="0.2"/>
    <row r="786" s="10" customFormat="1" x14ac:dyDescent="0.2"/>
    <row r="787" s="10" customFormat="1" x14ac:dyDescent="0.2"/>
    <row r="788" s="10" customFormat="1" x14ac:dyDescent="0.2"/>
    <row r="789" s="10" customFormat="1" x14ac:dyDescent="0.2"/>
    <row r="790" s="10" customFormat="1" x14ac:dyDescent="0.2"/>
    <row r="791" s="10" customFormat="1" x14ac:dyDescent="0.2"/>
    <row r="792" s="10" customFormat="1" x14ac:dyDescent="0.2"/>
    <row r="793" s="10" customFormat="1" x14ac:dyDescent="0.2"/>
    <row r="794" s="10" customFormat="1" x14ac:dyDescent="0.2"/>
    <row r="795" s="10" customFormat="1" x14ac:dyDescent="0.2"/>
    <row r="796" s="10" customFormat="1" x14ac:dyDescent="0.2"/>
    <row r="797" s="10" customFormat="1" x14ac:dyDescent="0.2"/>
    <row r="798" s="10" customFormat="1" x14ac:dyDescent="0.2"/>
    <row r="799" s="10" customFormat="1" x14ac:dyDescent="0.2"/>
    <row r="800" s="10" customFormat="1" x14ac:dyDescent="0.2"/>
    <row r="801" s="10" customFormat="1" x14ac:dyDescent="0.2"/>
    <row r="802" s="10" customFormat="1" x14ac:dyDescent="0.2"/>
    <row r="803" s="10" customFormat="1" x14ac:dyDescent="0.2"/>
    <row r="804" s="10" customFormat="1" x14ac:dyDescent="0.2"/>
    <row r="805" s="10" customFormat="1" x14ac:dyDescent="0.2"/>
    <row r="806" s="10" customFormat="1" x14ac:dyDescent="0.2"/>
    <row r="807" s="10" customFormat="1" x14ac:dyDescent="0.2"/>
    <row r="808" s="10" customFormat="1" x14ac:dyDescent="0.2"/>
    <row r="809" s="10" customFormat="1" x14ac:dyDescent="0.2"/>
    <row r="810" s="10" customFormat="1" x14ac:dyDescent="0.2"/>
    <row r="811" s="10" customFormat="1" x14ac:dyDescent="0.2"/>
    <row r="812" s="10" customFormat="1" x14ac:dyDescent="0.2"/>
    <row r="813" s="10" customFormat="1" x14ac:dyDescent="0.2"/>
    <row r="814" s="10" customFormat="1" x14ac:dyDescent="0.2"/>
    <row r="815" s="10" customFormat="1" x14ac:dyDescent="0.2"/>
    <row r="816" s="10" customFormat="1" x14ac:dyDescent="0.2"/>
    <row r="817" s="10" customFormat="1" x14ac:dyDescent="0.2"/>
    <row r="818" s="10" customFormat="1" x14ac:dyDescent="0.2"/>
    <row r="819" s="10" customFormat="1" x14ac:dyDescent="0.2"/>
    <row r="820" s="10" customFormat="1" x14ac:dyDescent="0.2"/>
    <row r="821" s="10" customFormat="1" x14ac:dyDescent="0.2"/>
    <row r="822" s="10" customFormat="1" x14ac:dyDescent="0.2"/>
    <row r="823" s="10" customFormat="1" x14ac:dyDescent="0.2"/>
    <row r="824" s="10" customFormat="1" x14ac:dyDescent="0.2"/>
    <row r="825" s="10" customFormat="1" x14ac:dyDescent="0.2"/>
    <row r="826" s="10" customFormat="1" x14ac:dyDescent="0.2"/>
    <row r="827" s="10" customFormat="1" x14ac:dyDescent="0.2"/>
    <row r="828" s="10" customFormat="1" x14ac:dyDescent="0.2"/>
    <row r="829" s="10" customFormat="1" x14ac:dyDescent="0.2"/>
    <row r="830" s="10" customFormat="1" x14ac:dyDescent="0.2"/>
    <row r="831" s="10" customFormat="1" x14ac:dyDescent="0.2"/>
    <row r="832" s="10" customFormat="1" x14ac:dyDescent="0.2"/>
    <row r="833" s="10" customFormat="1" x14ac:dyDescent="0.2"/>
    <row r="834" s="10" customFormat="1" x14ac:dyDescent="0.2"/>
    <row r="835" s="10" customFormat="1" x14ac:dyDescent="0.2"/>
    <row r="836" s="10" customFormat="1" x14ac:dyDescent="0.2"/>
    <row r="837" s="10" customFormat="1" x14ac:dyDescent="0.2"/>
    <row r="838" s="10" customFormat="1" x14ac:dyDescent="0.2"/>
    <row r="839" s="10" customFormat="1" x14ac:dyDescent="0.2"/>
    <row r="840" s="10" customFormat="1" x14ac:dyDescent="0.2"/>
    <row r="841" s="10" customFormat="1" x14ac:dyDescent="0.2"/>
    <row r="842" s="10" customFormat="1" x14ac:dyDescent="0.2"/>
    <row r="843" s="10" customFormat="1" x14ac:dyDescent="0.2"/>
    <row r="844" s="10" customFormat="1" x14ac:dyDescent="0.2"/>
    <row r="845" s="10" customFormat="1" x14ac:dyDescent="0.2"/>
    <row r="846" s="10" customFormat="1" x14ac:dyDescent="0.2"/>
    <row r="847" s="10" customFormat="1" x14ac:dyDescent="0.2"/>
    <row r="848" s="10" customFormat="1" x14ac:dyDescent="0.2"/>
    <row r="849" s="10" customFormat="1" x14ac:dyDescent="0.2"/>
    <row r="850" s="10" customFormat="1" x14ac:dyDescent="0.2"/>
    <row r="851" s="10" customFormat="1" x14ac:dyDescent="0.2"/>
    <row r="852" s="10" customFormat="1" x14ac:dyDescent="0.2"/>
    <row r="853" s="10" customFormat="1" x14ac:dyDescent="0.2"/>
    <row r="854" s="10" customFormat="1" x14ac:dyDescent="0.2"/>
    <row r="855" s="10" customFormat="1" x14ac:dyDescent="0.2"/>
    <row r="856" s="10" customFormat="1" x14ac:dyDescent="0.2"/>
    <row r="857" s="10" customFormat="1" x14ac:dyDescent="0.2"/>
    <row r="858" s="10" customFormat="1" x14ac:dyDescent="0.2"/>
    <row r="859" s="10" customFormat="1" x14ac:dyDescent="0.2"/>
    <row r="860" s="10" customFormat="1" x14ac:dyDescent="0.2"/>
    <row r="861" s="10" customFormat="1" x14ac:dyDescent="0.2"/>
    <row r="862" s="10" customFormat="1" x14ac:dyDescent="0.2"/>
    <row r="863" s="10" customFormat="1" x14ac:dyDescent="0.2"/>
    <row r="864" s="10" customFormat="1" x14ac:dyDescent="0.2"/>
    <row r="865" s="10" customFormat="1" x14ac:dyDescent="0.2"/>
    <row r="866" s="10" customFormat="1" x14ac:dyDescent="0.2"/>
    <row r="867" s="10" customFormat="1" x14ac:dyDescent="0.2"/>
    <row r="868" s="10" customFormat="1" x14ac:dyDescent="0.2"/>
    <row r="869" s="10" customFormat="1" x14ac:dyDescent="0.2"/>
    <row r="870" s="10" customFormat="1" x14ac:dyDescent="0.2"/>
    <row r="871" s="10" customFormat="1" x14ac:dyDescent="0.2"/>
    <row r="872" s="10" customFormat="1" x14ac:dyDescent="0.2"/>
    <row r="873" s="10" customFormat="1" x14ac:dyDescent="0.2"/>
    <row r="874" s="10" customFormat="1" x14ac:dyDescent="0.2"/>
    <row r="875" s="10" customFormat="1" x14ac:dyDescent="0.2"/>
    <row r="876" s="10" customFormat="1" x14ac:dyDescent="0.2"/>
    <row r="877" s="10" customFormat="1" x14ac:dyDescent="0.2"/>
    <row r="878" s="10" customFormat="1" x14ac:dyDescent="0.2"/>
    <row r="879" s="10" customFormat="1" x14ac:dyDescent="0.2"/>
    <row r="880" s="10" customFormat="1" x14ac:dyDescent="0.2"/>
    <row r="881" s="10" customFormat="1" x14ac:dyDescent="0.2"/>
    <row r="882" s="10" customFormat="1" x14ac:dyDescent="0.2"/>
    <row r="883" s="10" customFormat="1" x14ac:dyDescent="0.2"/>
    <row r="884" s="10" customFormat="1" x14ac:dyDescent="0.2"/>
    <row r="885" s="10" customFormat="1" x14ac:dyDescent="0.2"/>
    <row r="886" s="10" customFormat="1" x14ac:dyDescent="0.2"/>
    <row r="887" s="10" customFormat="1" x14ac:dyDescent="0.2"/>
    <row r="888" s="10" customFormat="1" x14ac:dyDescent="0.2"/>
    <row r="889" s="10" customFormat="1" x14ac:dyDescent="0.2"/>
    <row r="890" s="10" customFormat="1" x14ac:dyDescent="0.2"/>
    <row r="891" s="10" customFormat="1" x14ac:dyDescent="0.2"/>
    <row r="892" s="10" customFormat="1" x14ac:dyDescent="0.2"/>
    <row r="893" s="10" customFormat="1" x14ac:dyDescent="0.2"/>
    <row r="894" s="10" customFormat="1" x14ac:dyDescent="0.2"/>
    <row r="895" s="10" customFormat="1" x14ac:dyDescent="0.2"/>
    <row r="896" s="10" customFormat="1" x14ac:dyDescent="0.2"/>
    <row r="897" s="10" customFormat="1" x14ac:dyDescent="0.2"/>
    <row r="898" s="10" customFormat="1" x14ac:dyDescent="0.2"/>
    <row r="899" s="10" customFormat="1" x14ac:dyDescent="0.2"/>
    <row r="900" s="10" customFormat="1" x14ac:dyDescent="0.2"/>
    <row r="901" s="10" customFormat="1" x14ac:dyDescent="0.2"/>
    <row r="902" s="10" customFormat="1" x14ac:dyDescent="0.2"/>
    <row r="903" s="10" customFormat="1" x14ac:dyDescent="0.2"/>
    <row r="904" s="10" customFormat="1" x14ac:dyDescent="0.2"/>
    <row r="905" s="10" customFormat="1" x14ac:dyDescent="0.2"/>
    <row r="906" s="10" customFormat="1" x14ac:dyDescent="0.2"/>
    <row r="907" s="10" customFormat="1" x14ac:dyDescent="0.2"/>
    <row r="908" s="10" customFormat="1" x14ac:dyDescent="0.2"/>
    <row r="909" s="10" customFormat="1" x14ac:dyDescent="0.2"/>
    <row r="910" s="10" customFormat="1" x14ac:dyDescent="0.2"/>
    <row r="911" s="10" customFormat="1" x14ac:dyDescent="0.2"/>
    <row r="912" s="10" customFormat="1" x14ac:dyDescent="0.2"/>
    <row r="913" s="10" customFormat="1" x14ac:dyDescent="0.2"/>
    <row r="914" s="10" customFormat="1" x14ac:dyDescent="0.2"/>
    <row r="915" s="10" customFormat="1" x14ac:dyDescent="0.2"/>
    <row r="916" s="10" customFormat="1" x14ac:dyDescent="0.2"/>
    <row r="917" s="10" customFormat="1" x14ac:dyDescent="0.2"/>
    <row r="918" s="10" customFormat="1" x14ac:dyDescent="0.2"/>
    <row r="919" s="10" customFormat="1" x14ac:dyDescent="0.2"/>
    <row r="920" s="10" customFormat="1" x14ac:dyDescent="0.2"/>
    <row r="921" s="10" customFormat="1" x14ac:dyDescent="0.2"/>
    <row r="922" s="10" customFormat="1" x14ac:dyDescent="0.2"/>
    <row r="923" s="10" customFormat="1" x14ac:dyDescent="0.2"/>
    <row r="924" s="10" customFormat="1" x14ac:dyDescent="0.2"/>
    <row r="925" s="10" customFormat="1" x14ac:dyDescent="0.2"/>
    <row r="926" s="10" customFormat="1" x14ac:dyDescent="0.2"/>
    <row r="927" s="10" customFormat="1" x14ac:dyDescent="0.2"/>
    <row r="928" s="10" customFormat="1" x14ac:dyDescent="0.2"/>
    <row r="929" s="10" customFormat="1" x14ac:dyDescent="0.2"/>
    <row r="930" s="10" customFormat="1" x14ac:dyDescent="0.2"/>
    <row r="931" s="10" customFormat="1" x14ac:dyDescent="0.2"/>
    <row r="932" s="10" customFormat="1" x14ac:dyDescent="0.2"/>
    <row r="933" s="10" customFormat="1" x14ac:dyDescent="0.2"/>
    <row r="934" s="10" customFormat="1" x14ac:dyDescent="0.2"/>
    <row r="935" s="10" customFormat="1" x14ac:dyDescent="0.2"/>
    <row r="936" s="10" customFormat="1" x14ac:dyDescent="0.2"/>
    <row r="937" s="10" customFormat="1" x14ac:dyDescent="0.2"/>
    <row r="938" s="10" customFormat="1" x14ac:dyDescent="0.2"/>
    <row r="939" s="10" customFormat="1" x14ac:dyDescent="0.2"/>
    <row r="940" s="10" customFormat="1" x14ac:dyDescent="0.2"/>
    <row r="941" s="10" customFormat="1" x14ac:dyDescent="0.2"/>
    <row r="942" s="10" customFormat="1" x14ac:dyDescent="0.2"/>
    <row r="943" s="10" customFormat="1" x14ac:dyDescent="0.2"/>
    <row r="944" s="10" customFormat="1" x14ac:dyDescent="0.2"/>
    <row r="945" s="10" customFormat="1" x14ac:dyDescent="0.2"/>
    <row r="946" s="10" customFormat="1" x14ac:dyDescent="0.2"/>
    <row r="947" s="10" customFormat="1" x14ac:dyDescent="0.2"/>
    <row r="948" s="10" customFormat="1" x14ac:dyDescent="0.2"/>
    <row r="949" s="10" customFormat="1" x14ac:dyDescent="0.2"/>
    <row r="950" s="10" customFormat="1" x14ac:dyDescent="0.2"/>
    <row r="951" s="10" customFormat="1" x14ac:dyDescent="0.2"/>
    <row r="952" s="10" customFormat="1" x14ac:dyDescent="0.2"/>
    <row r="953" s="10" customFormat="1" x14ac:dyDescent="0.2"/>
    <row r="954" s="10" customFormat="1" x14ac:dyDescent="0.2"/>
    <row r="955" s="10" customFormat="1" x14ac:dyDescent="0.2"/>
    <row r="956" s="10" customFormat="1" x14ac:dyDescent="0.2"/>
    <row r="957" s="10" customFormat="1" x14ac:dyDescent="0.2"/>
    <row r="958" s="10" customFormat="1" x14ac:dyDescent="0.2"/>
    <row r="959" s="10" customFormat="1" x14ac:dyDescent="0.2"/>
    <row r="960" s="10" customFormat="1" x14ac:dyDescent="0.2"/>
    <row r="961" s="10" customFormat="1" x14ac:dyDescent="0.2"/>
    <row r="962" s="10" customFormat="1" x14ac:dyDescent="0.2"/>
    <row r="963" s="10" customFormat="1" x14ac:dyDescent="0.2"/>
    <row r="964" s="10" customFormat="1" x14ac:dyDescent="0.2"/>
    <row r="965" s="10" customFormat="1" x14ac:dyDescent="0.2"/>
    <row r="966" s="10" customFormat="1" x14ac:dyDescent="0.2"/>
    <row r="967" s="10" customFormat="1" x14ac:dyDescent="0.2"/>
    <row r="968" s="10" customFormat="1" x14ac:dyDescent="0.2"/>
    <row r="969" s="10" customFormat="1" x14ac:dyDescent="0.2"/>
    <row r="970" s="10" customFormat="1" x14ac:dyDescent="0.2"/>
    <row r="971" s="10" customFormat="1" x14ac:dyDescent="0.2"/>
    <row r="972" s="10" customFormat="1" x14ac:dyDescent="0.2"/>
    <row r="973" s="10" customFormat="1" x14ac:dyDescent="0.2"/>
    <row r="974" s="10" customFormat="1" x14ac:dyDescent="0.2"/>
    <row r="975" s="10" customFormat="1" x14ac:dyDescent="0.2"/>
    <row r="976" s="10" customFormat="1" x14ac:dyDescent="0.2"/>
    <row r="977" s="10" customFormat="1" x14ac:dyDescent="0.2"/>
    <row r="978" s="10" customFormat="1" x14ac:dyDescent="0.2"/>
    <row r="979" s="10" customFormat="1" x14ac:dyDescent="0.2"/>
    <row r="980" s="10" customFormat="1" x14ac:dyDescent="0.2"/>
    <row r="981" s="10" customFormat="1" x14ac:dyDescent="0.2"/>
    <row r="982" s="10" customFormat="1" x14ac:dyDescent="0.2"/>
    <row r="983" s="10" customFormat="1" x14ac:dyDescent="0.2"/>
    <row r="984" s="10" customFormat="1" x14ac:dyDescent="0.2"/>
    <row r="985" s="10" customFormat="1" x14ac:dyDescent="0.2"/>
    <row r="986" s="10" customFormat="1" x14ac:dyDescent="0.2"/>
    <row r="987" s="10" customFormat="1" x14ac:dyDescent="0.2"/>
    <row r="988" s="10" customFormat="1" x14ac:dyDescent="0.2"/>
    <row r="989" s="10" customFormat="1" x14ac:dyDescent="0.2"/>
    <row r="990" s="10" customFormat="1" x14ac:dyDescent="0.2"/>
    <row r="991" s="10" customFormat="1" x14ac:dyDescent="0.2"/>
    <row r="992" s="10" customFormat="1" x14ac:dyDescent="0.2"/>
    <row r="993" s="10" customFormat="1" x14ac:dyDescent="0.2"/>
    <row r="994" s="10" customFormat="1" x14ac:dyDescent="0.2"/>
    <row r="995" s="10" customFormat="1" x14ac:dyDescent="0.2"/>
    <row r="996" s="10" customFormat="1" x14ac:dyDescent="0.2"/>
    <row r="997" s="10" customFormat="1" x14ac:dyDescent="0.2"/>
    <row r="998" s="10" customFormat="1" x14ac:dyDescent="0.2"/>
    <row r="999" s="10" customFormat="1" x14ac:dyDescent="0.2"/>
    <row r="1000" s="10" customFormat="1" x14ac:dyDescent="0.2"/>
    <row r="1001" s="10" customFormat="1" x14ac:dyDescent="0.2"/>
    <row r="1002" s="10" customFormat="1" x14ac:dyDescent="0.2"/>
    <row r="1003" s="10" customFormat="1" x14ac:dyDescent="0.2"/>
    <row r="1004" s="10" customFormat="1" x14ac:dyDescent="0.2"/>
    <row r="1005" s="10" customFormat="1" x14ac:dyDescent="0.2"/>
    <row r="1006" s="10" customFormat="1" x14ac:dyDescent="0.2"/>
    <row r="1007" s="10" customFormat="1" x14ac:dyDescent="0.2"/>
    <row r="1008" s="10" customFormat="1" x14ac:dyDescent="0.2"/>
    <row r="1009" s="10" customFormat="1" x14ac:dyDescent="0.2"/>
    <row r="1010" s="10" customFormat="1" x14ac:dyDescent="0.2"/>
    <row r="1011" s="10" customFormat="1" x14ac:dyDescent="0.2"/>
  </sheetData>
  <mergeCells count="54">
    <mergeCell ref="F87:G87"/>
    <mergeCell ref="D87:E87"/>
    <mergeCell ref="E70:G70"/>
    <mergeCell ref="E71:G71"/>
    <mergeCell ref="E72:G72"/>
    <mergeCell ref="E73:G73"/>
    <mergeCell ref="E74:G74"/>
    <mergeCell ref="E75:G75"/>
    <mergeCell ref="E76:G76"/>
    <mergeCell ref="D79:E79"/>
    <mergeCell ref="D80:E80"/>
    <mergeCell ref="D81:E81"/>
    <mergeCell ref="D82:E82"/>
    <mergeCell ref="D83:E83"/>
    <mergeCell ref="D84:E84"/>
    <mergeCell ref="D85:E85"/>
    <mergeCell ref="D86:E86"/>
    <mergeCell ref="F80:G80"/>
    <mergeCell ref="F81:G81"/>
    <mergeCell ref="F82:G82"/>
    <mergeCell ref="F83:G83"/>
    <mergeCell ref="F84:G84"/>
    <mergeCell ref="F79:G79"/>
    <mergeCell ref="B1:Q1"/>
    <mergeCell ref="F85:G85"/>
    <mergeCell ref="F86:G86"/>
    <mergeCell ref="B29:G29"/>
    <mergeCell ref="B60:G60"/>
    <mergeCell ref="E61:G61"/>
    <mergeCell ref="E65:G65"/>
    <mergeCell ref="E66:G66"/>
    <mergeCell ref="E67:G67"/>
    <mergeCell ref="E68:G68"/>
    <mergeCell ref="E69:G69"/>
    <mergeCell ref="I24:N24"/>
    <mergeCell ref="I3:L3"/>
    <mergeCell ref="B78:G78"/>
    <mergeCell ref="E63:G63"/>
    <mergeCell ref="E64:G64"/>
    <mergeCell ref="B58:G58"/>
    <mergeCell ref="B3:G3"/>
    <mergeCell ref="I11:L11"/>
    <mergeCell ref="I36:N36"/>
    <mergeCell ref="I17:J17"/>
    <mergeCell ref="E62:G62"/>
    <mergeCell ref="G21:G27"/>
    <mergeCell ref="I66:N66"/>
    <mergeCell ref="M67:N67"/>
    <mergeCell ref="M68:N68"/>
    <mergeCell ref="M69:N69"/>
    <mergeCell ref="M70:N70"/>
    <mergeCell ref="M71:N71"/>
    <mergeCell ref="I73:Q73"/>
    <mergeCell ref="I72:N72"/>
  </mergeCells>
  <phoneticPr fontId="2" type="noConversion"/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0 Dashboard</vt:lpstr>
      <vt:lpstr>1 Premissas</vt:lpstr>
      <vt:lpstr>2 Producao Receitas</vt:lpstr>
      <vt:lpstr>3 Cost Recovery ProfitOil</vt:lpstr>
      <vt:lpstr>4 Receitas Fiscais</vt:lpstr>
      <vt:lpstr>6 Resumo</vt:lpstr>
      <vt:lpstr>5 Analise ENH</vt:lpstr>
      <vt:lpstr>7 Resumo Validação</vt:lpstr>
      <vt:lpstr>8 Parametros Avancados</vt:lpstr>
      <vt:lpstr>9 Cenário TE</vt:lpstr>
      <vt:lpstr>10 Guia do Modelo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Rui Mate</dc:creator>
  <cp:keywords/>
  <dc:description/>
  <cp:lastModifiedBy>Rui Mate (TI MZ)</cp:lastModifiedBy>
  <cp:revision>0</cp:revision>
  <dcterms:created xsi:type="dcterms:W3CDTF">2026-04-13T14:33:59Z</dcterms:created>
  <dcterms:modified xsi:type="dcterms:W3CDTF">2026-04-22T12:38:53Z</dcterms:modified>
  <cp:category/>
  <dc:language>en-US</dc:language>
</cp:coreProperties>
</file>